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2" windowHeight="8700" tabRatio="825" activeTab="0"/>
  </bookViews>
  <sheets>
    <sheet name="Intro" sheetId="1" r:id="rId1"/>
    <sheet name="US" sheetId="2" r:id="rId2"/>
    <sheet name="EU - country" sheetId="3" r:id="rId3"/>
    <sheet name="EU - variety" sheetId="4" state="hidden" r:id="rId4"/>
    <sheet name="EU variety" sheetId="5" r:id="rId5"/>
    <sheet name="Austria" sheetId="6" r:id="rId6"/>
    <sheet name="Belgium" sheetId="7" r:id="rId7"/>
    <sheet name="Czech Republic" sheetId="8" r:id="rId8"/>
    <sheet name="Denmark" sheetId="9" r:id="rId9"/>
    <sheet name="Finland" sheetId="10" state="hidden" r:id="rId10"/>
    <sheet name="France" sheetId="11" r:id="rId11"/>
    <sheet name="Germany" sheetId="12" r:id="rId12"/>
    <sheet name="Italy" sheetId="13" r:id="rId13"/>
    <sheet name="Poland" sheetId="14" r:id="rId14"/>
    <sheet name="Portugal" sheetId="15" r:id="rId15"/>
    <sheet name="Spain" sheetId="16" r:id="rId16"/>
    <sheet name="Switzerland" sheetId="17" r:id="rId17"/>
    <sheet name="Netherlands" sheetId="18" r:id="rId18"/>
    <sheet name="UK" sheetId="19" r:id="rId19"/>
  </sheets>
  <externalReferences>
    <externalReference r:id="rId22"/>
  </externalReferences>
  <definedNames>
    <definedName name="_xlnm.Print_Area" localSheetId="2">'EU - country'!$A$1:$N$31</definedName>
    <definedName name="_xlnm.Print_Area" localSheetId="4">'EU variety'!$A$1:$M$44</definedName>
    <definedName name="_xlnm.Print_Area" localSheetId="0">'Intro'!$A$1:$I$39</definedName>
    <definedName name="_xlnm.Print_Area" localSheetId="13">'Poland'!$A$1:$N$24</definedName>
    <definedName name="_xlnm.Print_Area" localSheetId="14">'Portugal'!$A$1:$L$14</definedName>
  </definedNames>
  <calcPr fullCalcOnLoad="1"/>
</workbook>
</file>

<file path=xl/sharedStrings.xml><?xml version="1.0" encoding="utf-8"?>
<sst xmlns="http://schemas.openxmlformats.org/spreadsheetml/2006/main" count="521" uniqueCount="190">
  <si>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</si>
  <si>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</si>
  <si>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</si>
  <si>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</si>
  <si>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</si>
  <si>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</si>
  <si>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</si>
  <si>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</si>
  <si>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</si>
  <si>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</si>
  <si>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</si>
  <si>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</si>
  <si>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</si>
  <si>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</si>
  <si>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</si>
  <si>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</si>
  <si>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</si>
  <si>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</si>
  <si>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</si>
  <si>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Annurca</t>
  </si>
  <si>
    <t>Stayman</t>
  </si>
  <si>
    <t>Pink Lady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</si>
  <si>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</si>
  <si>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</si>
  <si>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</si>
  <si>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</si>
  <si>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</si>
  <si>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</si>
  <si>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</si>
  <si>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</si>
  <si>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</si>
  <si>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</si>
  <si>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</si>
  <si>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</si>
  <si>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</si>
  <si>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</si>
  <si>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</si>
  <si>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</si>
  <si>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</si>
  <si>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</si>
  <si>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</si>
  <si>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</si>
  <si>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</si>
  <si>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</si>
  <si>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</si>
  <si>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</si>
  <si>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</si>
  <si>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</si>
  <si>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</si>
  <si>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</si>
  <si>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</si>
  <si>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</si>
  <si>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</si>
  <si>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</si>
  <si>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</si>
  <si>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</si>
  <si>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</si>
  <si>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</si>
  <si>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</si>
  <si>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</si>
  <si>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</si>
  <si>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</si>
  <si>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</si>
  <si>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</si>
  <si>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</si>
  <si>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</si>
  <si>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</si>
  <si>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</si>
  <si>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</si>
  <si>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</si>
  <si>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</si>
  <si>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</si>
  <si>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</si>
  <si>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</si>
  <si>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</si>
  <si>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</si>
  <si>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</si>
  <si>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</si>
  <si>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</si>
  <si>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</si>
  <si>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</si>
  <si>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</si>
  <si>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English Apples &amp; Pears</t>
  </si>
  <si>
    <t>Productschap Tuinbouw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</si>
  <si>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</si>
  <si>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</si>
  <si>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</si>
  <si>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</si>
  <si>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</si>
  <si>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</si>
  <si>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European situation per variety</t>
  </si>
  <si>
    <t>Variety (Ton)</t>
  </si>
  <si>
    <t>Total</t>
  </si>
  <si>
    <t>Doyenne du comice</t>
  </si>
  <si>
    <t>%2009/2008</t>
  </si>
  <si>
    <t>Arlet</t>
  </si>
  <si>
    <t>Kronprinz Rudolf</t>
  </si>
  <si>
    <t>Topaz</t>
  </si>
  <si>
    <t>Bellida</t>
  </si>
  <si>
    <t>Pigoen</t>
  </si>
  <si>
    <t>Ingrid Marie</t>
  </si>
  <si>
    <t>Doyenne</t>
  </si>
  <si>
    <t>Gloster*</t>
  </si>
  <si>
    <t>* From 2007 Gloster is included in others</t>
  </si>
  <si>
    <t>Abate Fetel</t>
  </si>
  <si>
    <t>Decana del C.</t>
  </si>
  <si>
    <t>Morgenduft</t>
  </si>
  <si>
    <t>Renette</t>
  </si>
  <si>
    <t>Jonagold (incl. Jonagored)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</si>
  <si>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</si>
  <si>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</si>
  <si>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</si>
  <si>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</si>
  <si>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</si>
  <si>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</si>
  <si>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</si>
  <si>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Rubinette</t>
  </si>
  <si>
    <t>Boscs Flaschenbirne</t>
  </si>
  <si>
    <t>Gute Luise</t>
  </si>
  <si>
    <t>European countries by variety</t>
  </si>
  <si>
    <t>Reine de renettes</t>
  </si>
  <si>
    <t>Ariane</t>
  </si>
  <si>
    <t>Pear Stocks  (Ton)</t>
  </si>
  <si>
    <t>Reinette</t>
  </si>
  <si>
    <t>Other new varieties*</t>
  </si>
  <si>
    <t>Belchard/Chantecler</t>
  </si>
  <si>
    <t>Honey Crunch</t>
  </si>
  <si>
    <t>Jazz</t>
  </si>
  <si>
    <t>Rouges</t>
  </si>
  <si>
    <t>Sundowner</t>
  </si>
  <si>
    <t>Tentation</t>
  </si>
  <si>
    <t>Goldrush</t>
  </si>
  <si>
    <t>France</t>
  </si>
  <si>
    <t>Red Jonaprince</t>
  </si>
  <si>
    <t>Other New varieties</t>
  </si>
  <si>
    <t>Angelys</t>
  </si>
  <si>
    <t>Beurré Hardy</t>
  </si>
  <si>
    <t>Guyot</t>
  </si>
  <si>
    <t>Passe Crassane</t>
  </si>
  <si>
    <t>Williams</t>
  </si>
  <si>
    <t>AMI</t>
  </si>
  <si>
    <t>Akero</t>
  </si>
  <si>
    <t>Aroma</t>
  </si>
  <si>
    <t>Aroma, raud</t>
  </si>
  <si>
    <t>Delcorf</t>
  </si>
  <si>
    <t>Discovery</t>
  </si>
  <si>
    <t>Gravenstein</t>
  </si>
  <si>
    <t>Red Gravenstein</t>
  </si>
  <si>
    <t>Red Prince</t>
  </si>
  <si>
    <t>Summerred</t>
  </si>
  <si>
    <t>NOVEMBER</t>
  </si>
  <si>
    <t>Belgium</t>
  </si>
  <si>
    <t>Club varieties</t>
  </si>
  <si>
    <t>%2010/2009</t>
  </si>
  <si>
    <t>Choupette</t>
  </si>
  <si>
    <t xml:space="preserve">* Other new varieties: Ariane, Belgica, Choupette, Diwa, Greenstar, Goldrush, Honey Crunch, Jazz, Junami, Kanzi, Mairac, Rubens, Tentation (temptation), Wellant, ... </t>
  </si>
  <si>
    <t>Annurca (incl. IT Reinette)</t>
  </si>
  <si>
    <t>Portugal:</t>
  </si>
  <si>
    <t>ANP - Associação Nacional de Produtores de Pera Rocha</t>
  </si>
  <si>
    <t>Denmark:</t>
  </si>
  <si>
    <t>ANPP</t>
  </si>
  <si>
    <t>Portugal</t>
  </si>
  <si>
    <t>Golden Delicius</t>
  </si>
  <si>
    <t xml:space="preserve">* Other new varieties: Ariane, Belgica, Diwa, Greenstar, Goldrush, Honey Crunch, Jazz, Junami, Kanzi, Mairac, Rubens, Tentation (temptation), Wellant, ... </t>
  </si>
  <si>
    <t>Rocha</t>
  </si>
  <si>
    <t>Ligol</t>
  </si>
  <si>
    <t>Concorde</t>
  </si>
  <si>
    <t>Bohemica</t>
  </si>
  <si>
    <t>Lucasova</t>
  </si>
  <si>
    <t>AFRUCAT</t>
  </si>
  <si>
    <t>Evelina</t>
  </si>
  <si>
    <t>Honeycrisp</t>
  </si>
  <si>
    <t>Durondeau*</t>
  </si>
  <si>
    <t>* From 2010 Durondeau is no longer included in others</t>
  </si>
  <si>
    <t xml:space="preserve">Williams* </t>
  </si>
  <si>
    <t>*separate category since 2015</t>
  </si>
  <si>
    <t>Given that not all the data is available from 1 November, the comparison calculations will only be made as of 1 December</t>
  </si>
  <si>
    <t>Forelle</t>
  </si>
  <si>
    <t>United Kingdom**</t>
  </si>
  <si>
    <t>Portugal*</t>
  </si>
  <si>
    <t>** As of the 2016/ 2017 season, the UK works with a different methodology, which is why the figures are not comparable.</t>
  </si>
  <si>
    <t>Jonagold*</t>
  </si>
  <si>
    <t>*Figures for Jonagold and Jonagored combined</t>
  </si>
  <si>
    <t>** From 12/2014 Cox's is included in others</t>
  </si>
  <si>
    <t>Cox**</t>
  </si>
  <si>
    <t>Pear Stocks (Ton)*</t>
  </si>
  <si>
    <t>* The pear stocks consist of fresh only since 2015/2016</t>
  </si>
  <si>
    <t>Overview Northern Hemisphere apple and pear stocks 2018-2019</t>
  </si>
  <si>
    <t>%2018/2017</t>
  </si>
  <si>
    <t>1/11/2018</t>
  </si>
</sst>
</file>

<file path=xl/styles.xml><?xml version="1.0" encoding="utf-8"?>
<styleSheet xmlns="http://schemas.openxmlformats.org/spreadsheetml/2006/main">
  <numFmts count="4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-813]dddd\ d\ mmmm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%"/>
    <numFmt numFmtId="192" formatCode="[$-80C]dddd\ d\ mmmm\ yyyy"/>
    <numFmt numFmtId="193" formatCode="[$-F800]dddd\,\ mmmm\ dd\,\ yyyy"/>
    <numFmt numFmtId="194" formatCode="_-* #,##0\ _€_-;\-* #,##0\ _€_-;_-* &quot;-&quot;??\ _€_-;_-@_-"/>
    <numFmt numFmtId="195" formatCode="_-* #,##0.0\ _€_-;\-* #,##0.0\ _€_-;_-* &quot;-&quot;??\ _€_-;_-@_-"/>
    <numFmt numFmtId="196" formatCode="0.0"/>
    <numFmt numFmtId="197" formatCode="[$-809]dd\ mmmm\ yyyy"/>
    <numFmt numFmtId="198" formatCode="0.000"/>
    <numFmt numFmtId="199" formatCode="0.0000"/>
    <numFmt numFmtId="200" formatCode="&quot;£&quot;#,##0.00"/>
    <numFmt numFmtId="201" formatCode="_-&quot;£&quot;* #,##0.0_-;\-&quot;£&quot;* #,##0.0_-;_-&quot;£&quot;* &quot;-&quot;??_-;_-@_-"/>
    <numFmt numFmtId="202" formatCode="_-&quot;£&quot;* #,##0_-;\-&quot;£&quot;* #,##0_-;_-&quot;£&quot;* &quot;-&quot;??_-;_-@_-"/>
    <numFmt numFmtId="203" formatCode="&quot;€&quot;\ #,##0.00"/>
    <numFmt numFmtId="204" formatCode="#,##0;[Red]#,##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Modern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1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9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 quotePrefix="1">
      <alignment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 quotePrefix="1">
      <alignment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91" fontId="0" fillId="34" borderId="0" xfId="0" applyNumberFormat="1" applyFill="1" applyBorder="1" applyAlignment="1">
      <alignment/>
    </xf>
    <xf numFmtId="191" fontId="0" fillId="34" borderId="10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0" fillId="33" borderId="12" xfId="0" applyFill="1" applyBorder="1" applyAlignment="1">
      <alignment/>
    </xf>
    <xf numFmtId="3" fontId="0" fillId="0" borderId="17" xfId="0" applyNumberFormat="1" applyBorder="1" applyAlignment="1">
      <alignment/>
    </xf>
    <xf numFmtId="0" fontId="1" fillId="33" borderId="12" xfId="0" applyFont="1" applyFill="1" applyBorder="1" applyAlignment="1">
      <alignment/>
    </xf>
    <xf numFmtId="191" fontId="1" fillId="34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91" fontId="0" fillId="0" borderId="0" xfId="0" applyNumberForma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4" fontId="1" fillId="0" borderId="14" xfId="0" applyNumberFormat="1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0" fontId="1" fillId="34" borderId="14" xfId="0" applyFont="1" applyFill="1" applyBorder="1" applyAlignment="1">
      <alignment horizontal="center"/>
    </xf>
    <xf numFmtId="191" fontId="0" fillId="34" borderId="0" xfId="0" applyNumberFormat="1" applyFont="1" applyFill="1" applyBorder="1" applyAlignment="1">
      <alignment/>
    </xf>
    <xf numFmtId="191" fontId="0" fillId="34" borderId="10" xfId="0" applyNumberFormat="1" applyFont="1" applyFill="1" applyBorder="1" applyAlignment="1">
      <alignment/>
    </xf>
    <xf numFmtId="0" fontId="0" fillId="0" borderId="0" xfId="53">
      <alignment/>
      <protection/>
    </xf>
    <xf numFmtId="0" fontId="1" fillId="33" borderId="13" xfId="53" applyFont="1" applyFill="1" applyBorder="1">
      <alignment/>
      <protection/>
    </xf>
    <xf numFmtId="0" fontId="1" fillId="34" borderId="14" xfId="53" applyFont="1" applyFill="1" applyBorder="1" applyAlignment="1">
      <alignment horizontal="center"/>
      <protection/>
    </xf>
    <xf numFmtId="0" fontId="0" fillId="0" borderId="0" xfId="53" applyFont="1">
      <alignment/>
      <protection/>
    </xf>
    <xf numFmtId="0" fontId="0" fillId="33" borderId="11" xfId="53" applyFont="1" applyFill="1" applyBorder="1">
      <alignment/>
      <protection/>
    </xf>
    <xf numFmtId="191" fontId="0" fillId="34" borderId="0" xfId="53" applyNumberFormat="1" applyFont="1" applyFill="1" applyBorder="1">
      <alignment/>
      <protection/>
    </xf>
    <xf numFmtId="0" fontId="0" fillId="33" borderId="12" xfId="53" applyFont="1" applyFill="1" applyBorder="1">
      <alignment/>
      <protection/>
    </xf>
    <xf numFmtId="191" fontId="0" fillId="34" borderId="10" xfId="53" applyNumberFormat="1" applyFont="1" applyFill="1" applyBorder="1">
      <alignment/>
      <protection/>
    </xf>
    <xf numFmtId="3" fontId="0" fillId="0" borderId="10" xfId="53" applyNumberFormat="1" applyFont="1" applyBorder="1">
      <alignment/>
      <protection/>
    </xf>
    <xf numFmtId="0" fontId="1" fillId="33" borderId="12" xfId="53" applyFont="1" applyFill="1" applyBorder="1">
      <alignment/>
      <protection/>
    </xf>
    <xf numFmtId="191" fontId="1" fillId="34" borderId="14" xfId="53" applyNumberFormat="1" applyFont="1" applyFill="1" applyBorder="1">
      <alignment/>
      <protection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6" xfId="53" applyNumberFormat="1" applyFont="1" applyBorder="1">
      <alignment/>
      <protection/>
    </xf>
    <xf numFmtId="3" fontId="0" fillId="0" borderId="17" xfId="53" applyNumberFormat="1" applyFont="1" applyBorder="1">
      <alignment/>
      <protection/>
    </xf>
    <xf numFmtId="0" fontId="0" fillId="33" borderId="12" xfId="0" applyNumberForma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0" xfId="53" applyNumberFormat="1" applyFont="1" applyFill="1" applyBorder="1">
      <alignment/>
      <protection/>
    </xf>
    <xf numFmtId="3" fontId="0" fillId="0" borderId="10" xfId="53" applyNumberFormat="1" applyFont="1" applyFill="1" applyBorder="1">
      <alignment/>
      <protection/>
    </xf>
    <xf numFmtId="3" fontId="0" fillId="0" borderId="16" xfId="53" applyNumberFormat="1" applyFont="1" applyFill="1" applyBorder="1">
      <alignment/>
      <protection/>
    </xf>
    <xf numFmtId="3" fontId="0" fillId="0" borderId="17" xfId="53" applyNumberFormat="1" applyFont="1" applyFill="1" applyBorder="1">
      <alignment/>
      <protection/>
    </xf>
    <xf numFmtId="3" fontId="1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14" xfId="53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191" fontId="0" fillId="34" borderId="0" xfId="0" applyNumberFormat="1" applyFont="1" applyFill="1" applyBorder="1" applyAlignment="1">
      <alignment horizontal="right"/>
    </xf>
    <xf numFmtId="191" fontId="0" fillId="34" borderId="10" xfId="0" applyNumberFormat="1" applyFont="1" applyFill="1" applyBorder="1" applyAlignment="1">
      <alignment horizontal="right"/>
    </xf>
    <xf numFmtId="191" fontId="1" fillId="34" borderId="10" xfId="0" applyNumberFormat="1" applyFont="1" applyFill="1" applyBorder="1" applyAlignment="1">
      <alignment horizontal="right"/>
    </xf>
    <xf numFmtId="0" fontId="1" fillId="0" borderId="0" xfId="53" applyFont="1">
      <alignment/>
      <protection/>
    </xf>
    <xf numFmtId="3" fontId="1" fillId="0" borderId="14" xfId="53" applyNumberFormat="1" applyFont="1" applyBorder="1">
      <alignment/>
      <protection/>
    </xf>
    <xf numFmtId="3" fontId="1" fillId="0" borderId="15" xfId="53" applyNumberFormat="1" applyFont="1" applyBorder="1">
      <alignment/>
      <protection/>
    </xf>
    <xf numFmtId="0" fontId="0" fillId="0" borderId="0" xfId="0" applyAlignment="1">
      <alignment horizontal="center"/>
    </xf>
    <xf numFmtId="14" fontId="1" fillId="35" borderId="14" xfId="0" applyNumberFormat="1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0" fillId="0" borderId="0" xfId="0" applyNumberFormat="1" applyFill="1" applyBorder="1" applyAlignment="1" quotePrefix="1">
      <alignment/>
    </xf>
    <xf numFmtId="3" fontId="0" fillId="0" borderId="10" xfId="0" applyNumberFormat="1" applyFill="1" applyBorder="1" applyAlignment="1" quotePrefix="1">
      <alignment/>
    </xf>
    <xf numFmtId="14" fontId="1" fillId="0" borderId="14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191" fontId="0" fillId="34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191" fontId="0" fillId="35" borderId="0" xfId="0" applyNumberFormat="1" applyFont="1" applyFill="1" applyBorder="1" applyAlignment="1">
      <alignment/>
    </xf>
    <xf numFmtId="3" fontId="0" fillId="35" borderId="0" xfId="53" applyNumberFormat="1" applyFont="1" applyFill="1" applyBorder="1">
      <alignment/>
      <protection/>
    </xf>
    <xf numFmtId="3" fontId="0" fillId="35" borderId="10" xfId="53" applyNumberFormat="1" applyFont="1" applyFill="1" applyBorder="1">
      <alignment/>
      <protection/>
    </xf>
    <xf numFmtId="3" fontId="1" fillId="35" borderId="14" xfId="53" applyNumberFormat="1" applyFont="1" applyFill="1" applyBorder="1">
      <alignment/>
      <protection/>
    </xf>
    <xf numFmtId="3" fontId="0" fillId="35" borderId="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1" fillId="35" borderId="14" xfId="0" applyNumberFormat="1" applyFont="1" applyFill="1" applyBorder="1" applyAlignment="1">
      <alignment/>
    </xf>
    <xf numFmtId="191" fontId="0" fillId="34" borderId="14" xfId="53" applyNumberFormat="1" applyFont="1" applyFill="1" applyBorder="1">
      <alignment/>
      <protection/>
    </xf>
    <xf numFmtId="0" fontId="0" fillId="33" borderId="18" xfId="53" applyFont="1" applyFill="1" applyBorder="1">
      <alignment/>
      <protection/>
    </xf>
    <xf numFmtId="191" fontId="0" fillId="34" borderId="19" xfId="53" applyNumberFormat="1" applyFont="1" applyFill="1" applyBorder="1">
      <alignment/>
      <protection/>
    </xf>
    <xf numFmtId="3" fontId="0" fillId="35" borderId="19" xfId="53" applyNumberFormat="1" applyFont="1" applyFill="1" applyBorder="1">
      <alignment/>
      <protection/>
    </xf>
    <xf numFmtId="3" fontId="0" fillId="0" borderId="20" xfId="53" applyNumberFormat="1" applyFont="1" applyFill="1" applyBorder="1">
      <alignment/>
      <protection/>
    </xf>
    <xf numFmtId="191" fontId="1" fillId="34" borderId="10" xfId="53" applyNumberFormat="1" applyFont="1" applyFill="1" applyBorder="1">
      <alignment/>
      <protection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33" borderId="12" xfId="0" applyNumberFormat="1" applyFont="1" applyFill="1" applyBorder="1" applyAlignment="1">
      <alignment/>
    </xf>
    <xf numFmtId="3" fontId="46" fillId="0" borderId="0" xfId="0" applyNumberFormat="1" applyFont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/>
    </xf>
    <xf numFmtId="3" fontId="1" fillId="0" borderId="15" xfId="53" applyNumberFormat="1" applyFont="1" applyFill="1" applyBorder="1">
      <alignment/>
      <protection/>
    </xf>
    <xf numFmtId="0" fontId="1" fillId="0" borderId="0" xfId="0" applyFont="1" applyAlignment="1">
      <alignment/>
    </xf>
    <xf numFmtId="0" fontId="0" fillId="33" borderId="18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191" fontId="0" fillId="29" borderId="0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191" fontId="0" fillId="29" borderId="10" xfId="0" applyNumberFormat="1" applyFont="1" applyFill="1" applyBorder="1" applyAlignment="1">
      <alignment/>
    </xf>
    <xf numFmtId="0" fontId="1" fillId="36" borderId="12" xfId="0" applyFont="1" applyFill="1" applyBorder="1" applyAlignment="1">
      <alignment/>
    </xf>
    <xf numFmtId="191" fontId="1" fillId="29" borderId="10" xfId="0" applyNumberFormat="1" applyFont="1" applyFill="1" applyBorder="1" applyAlignment="1">
      <alignment/>
    </xf>
    <xf numFmtId="3" fontId="0" fillId="0" borderId="19" xfId="53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0" fillId="33" borderId="11" xfId="0" applyNumberFormat="1" applyFont="1" applyFill="1" applyBorder="1" applyAlignment="1">
      <alignment/>
    </xf>
    <xf numFmtId="0" fontId="1" fillId="36" borderId="13" xfId="53" applyFont="1" applyFill="1" applyBorder="1">
      <alignment/>
      <protection/>
    </xf>
    <xf numFmtId="0" fontId="0" fillId="36" borderId="11" xfId="53" applyFont="1" applyFill="1" applyBorder="1">
      <alignment/>
      <protection/>
    </xf>
    <xf numFmtId="191" fontId="0" fillId="29" borderId="0" xfId="53" applyNumberFormat="1" applyFont="1" applyFill="1" applyBorder="1">
      <alignment/>
      <protection/>
    </xf>
    <xf numFmtId="191" fontId="1" fillId="29" borderId="14" xfId="53" applyNumberFormat="1" applyFont="1" applyFill="1" applyBorder="1">
      <alignment/>
      <protection/>
    </xf>
    <xf numFmtId="3" fontId="0" fillId="0" borderId="0" xfId="53" applyNumberFormat="1">
      <alignment/>
      <protection/>
    </xf>
    <xf numFmtId="0" fontId="0" fillId="0" borderId="10" xfId="0" applyFont="1" applyBorder="1" applyAlignment="1">
      <alignment/>
    </xf>
    <xf numFmtId="191" fontId="1" fillId="34" borderId="14" xfId="0" applyNumberFormat="1" applyFont="1" applyFill="1" applyBorder="1" applyAlignment="1">
      <alignment/>
    </xf>
    <xf numFmtId="3" fontId="0" fillId="0" borderId="0" xfId="47" applyNumberFormat="1" applyFont="1" applyFill="1" applyBorder="1" applyAlignment="1">
      <alignment/>
    </xf>
    <xf numFmtId="3" fontId="37" fillId="0" borderId="16" xfId="47" applyNumberFormat="1" applyFill="1" applyBorder="1" applyAlignment="1">
      <alignment/>
    </xf>
    <xf numFmtId="14" fontId="1" fillId="0" borderId="0" xfId="0" applyNumberFormat="1" applyFont="1" applyFill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4" fontId="1" fillId="35" borderId="14" xfId="0" applyNumberFormat="1" applyFont="1" applyFill="1" applyBorder="1" applyAlignment="1">
      <alignment/>
    </xf>
    <xf numFmtId="191" fontId="0" fillId="35" borderId="10" xfId="0" applyNumberFormat="1" applyFont="1" applyFill="1" applyBorder="1" applyAlignment="1">
      <alignment/>
    </xf>
    <xf numFmtId="191" fontId="1" fillId="35" borderId="10" xfId="0" applyNumberFormat="1" applyFont="1" applyFill="1" applyBorder="1" applyAlignment="1">
      <alignment/>
    </xf>
    <xf numFmtId="191" fontId="0" fillId="35" borderId="0" xfId="53" applyNumberFormat="1" applyFont="1" applyFill="1" applyBorder="1">
      <alignment/>
      <protection/>
    </xf>
    <xf numFmtId="191" fontId="0" fillId="35" borderId="10" xfId="53" applyNumberFormat="1" applyFont="1" applyFill="1" applyBorder="1">
      <alignment/>
      <protection/>
    </xf>
    <xf numFmtId="3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ill="1" applyBorder="1" applyAlignment="1">
      <alignment/>
    </xf>
    <xf numFmtId="191" fontId="1" fillId="35" borderId="14" xfId="53" applyNumberFormat="1" applyFont="1" applyFill="1" applyBorder="1">
      <alignment/>
      <protection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/>
    </xf>
    <xf numFmtId="194" fontId="0" fillId="0" borderId="0" xfId="48" applyNumberFormat="1" applyFont="1" applyFill="1" applyBorder="1" applyAlignment="1">
      <alignment horizontal="right" wrapText="1"/>
    </xf>
    <xf numFmtId="194" fontId="0" fillId="0" borderId="10" xfId="48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/>
    </xf>
    <xf numFmtId="0" fontId="0" fillId="0" borderId="0" xfId="53" applyFill="1">
      <alignment/>
      <protection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91" fontId="0" fillId="35" borderId="0" xfId="0" applyNumberFormat="1" applyFill="1" applyBorder="1" applyAlignment="1">
      <alignment/>
    </xf>
    <xf numFmtId="191" fontId="0" fillId="35" borderId="10" xfId="0" applyNumberFormat="1" applyFill="1" applyBorder="1" applyAlignment="1">
      <alignment/>
    </xf>
    <xf numFmtId="191" fontId="1" fillId="35" borderId="14" xfId="0" applyNumberFormat="1" applyFont="1" applyFill="1" applyBorder="1" applyAlignment="1">
      <alignment/>
    </xf>
    <xf numFmtId="3" fontId="0" fillId="0" borderId="0" xfId="53" applyNumberFormat="1" applyFill="1" applyBorder="1" quotePrefix="1">
      <alignment/>
      <protection/>
    </xf>
    <xf numFmtId="3" fontId="0" fillId="0" borderId="10" xfId="53" applyNumberFormat="1" applyFill="1" applyBorder="1" quotePrefix="1">
      <alignment/>
      <protection/>
    </xf>
    <xf numFmtId="3" fontId="1" fillId="0" borderId="10" xfId="53" applyNumberFormat="1" applyFont="1" applyFill="1" applyBorder="1">
      <alignment/>
      <protection/>
    </xf>
    <xf numFmtId="191" fontId="1" fillId="0" borderId="10" xfId="0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191" fontId="0" fillId="0" borderId="10" xfId="0" applyNumberFormat="1" applyFont="1" applyFill="1" applyBorder="1" applyAlignment="1">
      <alignment/>
    </xf>
    <xf numFmtId="191" fontId="0" fillId="0" borderId="0" xfId="53" applyNumberFormat="1" applyFont="1" applyFill="1" applyBorder="1">
      <alignment/>
      <protection/>
    </xf>
    <xf numFmtId="191" fontId="0" fillId="0" borderId="10" xfId="53" applyNumberFormat="1" applyFont="1" applyFill="1" applyBorder="1">
      <alignment/>
      <protection/>
    </xf>
    <xf numFmtId="191" fontId="1" fillId="0" borderId="14" xfId="53" applyNumberFormat="1" applyFont="1" applyFill="1" applyBorder="1">
      <alignment/>
      <protection/>
    </xf>
    <xf numFmtId="194" fontId="0" fillId="0" borderId="0" xfId="48" applyNumberFormat="1" applyFont="1" applyFill="1" applyBorder="1" applyAlignment="1">
      <alignment horizontal="left"/>
    </xf>
    <xf numFmtId="194" fontId="0" fillId="0" borderId="0" xfId="48" applyNumberFormat="1" applyFont="1" applyFill="1" applyBorder="1" applyAlignment="1">
      <alignment horizontal="right"/>
    </xf>
    <xf numFmtId="194" fontId="0" fillId="0" borderId="10" xfId="48" applyNumberFormat="1" applyFont="1" applyFill="1" applyBorder="1" applyAlignment="1">
      <alignment horizontal="left"/>
    </xf>
    <xf numFmtId="194" fontId="1" fillId="0" borderId="10" xfId="48" applyNumberFormat="1" applyFont="1" applyFill="1" applyBorder="1" applyAlignment="1">
      <alignment horizontal="left"/>
    </xf>
    <xf numFmtId="191" fontId="1" fillId="35" borderId="10" xfId="53" applyNumberFormat="1" applyFont="1" applyFill="1" applyBorder="1">
      <alignment/>
      <protection/>
    </xf>
    <xf numFmtId="3" fontId="0" fillId="35" borderId="0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5" borderId="19" xfId="0" applyNumberFormat="1" applyFill="1" applyBorder="1" applyAlignment="1">
      <alignment/>
    </xf>
    <xf numFmtId="3" fontId="1" fillId="0" borderId="0" xfId="0" applyNumberFormat="1" applyFont="1" applyFill="1" applyBorder="1" applyAlignment="1">
      <alignment vertical="center"/>
    </xf>
    <xf numFmtId="14" fontId="1" fillId="35" borderId="14" xfId="0" applyNumberFormat="1" applyFont="1" applyFill="1" applyBorder="1" applyAlignment="1">
      <alignment horizontal="right"/>
    </xf>
    <xf numFmtId="3" fontId="0" fillId="35" borderId="0" xfId="0" applyNumberFormat="1" applyFont="1" applyFill="1" applyBorder="1" applyAlignment="1">
      <alignment horizontal="right"/>
    </xf>
    <xf numFmtId="3" fontId="0" fillId="35" borderId="10" xfId="0" applyNumberFormat="1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e_4_uesto_pere" xfId="54"/>
    <cellStyle name="Notas" xfId="55"/>
    <cellStyle name="Percent" xfId="56"/>
    <cellStyle name="Salida" xfId="57"/>
    <cellStyle name="Standard_LBNOV94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4</xdr:row>
      <xdr:rowOff>9525</xdr:rowOff>
    </xdr:from>
    <xdr:to>
      <xdr:col>2</xdr:col>
      <xdr:colOff>371475</xdr:colOff>
      <xdr:row>13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657225"/>
          <a:ext cx="1704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somela%2017\COMITATO%20MARKETING\Riunioni%202017\Novembre%202017\Produzione_giacenze%20Novemb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e Mele da Tavola"/>
      <sheetName val="TOTALE GENERALE"/>
      <sheetName val="Cascola"/>
      <sheetName val="Golden Delicious"/>
      <sheetName val="Red Delicious"/>
      <sheetName val="Gala - Royal Gala"/>
      <sheetName val="Morgenduft"/>
      <sheetName val="Stayman Winesap"/>
      <sheetName val="Granny Smith"/>
      <sheetName val="Annurca - Renetta"/>
      <sheetName val="Jonathan"/>
      <sheetName val="Gloster"/>
      <sheetName val="Idared"/>
      <sheetName val="Elstar"/>
      <sheetName val="Jonagold"/>
      <sheetName val="Braeburn"/>
      <sheetName val="Fuji"/>
      <sheetName val="Cripps Pink"/>
      <sheetName val="Altre"/>
      <sheetName val="Mele da Pelare"/>
    </sheetNames>
    <sheetDataSet>
      <sheetData sheetId="6">
        <row r="42">
          <cell r="O42">
            <v>26331.95</v>
          </cell>
        </row>
      </sheetData>
      <sheetData sheetId="9">
        <row r="42">
          <cell r="O42">
            <v>30755.6</v>
          </cell>
        </row>
      </sheetData>
      <sheetData sheetId="10">
        <row r="42">
          <cell r="O42">
            <v>0</v>
          </cell>
        </row>
      </sheetData>
      <sheetData sheetId="12">
        <row r="42">
          <cell r="O42">
            <v>838.6</v>
          </cell>
        </row>
      </sheetData>
      <sheetData sheetId="13">
        <row r="42">
          <cell r="O42">
            <v>51</v>
          </cell>
        </row>
      </sheetData>
      <sheetData sheetId="14">
        <row r="42">
          <cell r="O42">
            <v>3440.52</v>
          </cell>
        </row>
      </sheetData>
      <sheetData sheetId="15">
        <row r="42">
          <cell r="O42">
            <v>47592.8</v>
          </cell>
        </row>
      </sheetData>
      <sheetData sheetId="18">
        <row r="42">
          <cell r="O42">
            <v>64457.350000000006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F39"/>
  <sheetViews>
    <sheetView tabSelected="1" zoomScalePageLayoutView="0" workbookViewId="0" topLeftCell="A10">
      <selection activeCell="F19" sqref="F19"/>
    </sheetView>
  </sheetViews>
  <sheetFormatPr defaultColWidth="9.140625" defaultRowHeight="12.75"/>
  <cols>
    <col min="1" max="1" width="9.140625" style="0" customWidth="1"/>
    <col min="2" max="2" width="18.421875" style="0" customWidth="1"/>
  </cols>
  <sheetData>
    <row r="19" spans="1:6" ht="12.75">
      <c r="A19" s="3" t="s">
        <v>187</v>
      </c>
      <c r="F19" s="125" t="s">
        <v>150</v>
      </c>
    </row>
    <row r="21" spans="1:2" ht="12.75">
      <c r="A21" t="s">
        <v>61</v>
      </c>
      <c r="B21" t="s">
        <v>62</v>
      </c>
    </row>
    <row r="22" ht="12.75">
      <c r="B22" t="s">
        <v>63</v>
      </c>
    </row>
    <row r="23" ht="12.75">
      <c r="B23" t="s">
        <v>90</v>
      </c>
    </row>
    <row r="24" ht="12.75">
      <c r="B24" s="3" t="s">
        <v>119</v>
      </c>
    </row>
    <row r="26" spans="1:3" ht="12.75">
      <c r="A26" t="s">
        <v>64</v>
      </c>
      <c r="B26" t="s">
        <v>65</v>
      </c>
      <c r="C26" t="s">
        <v>66</v>
      </c>
    </row>
    <row r="27" spans="2:3" ht="12.75">
      <c r="B27" t="s">
        <v>67</v>
      </c>
      <c r="C27" t="s">
        <v>68</v>
      </c>
    </row>
    <row r="28" spans="2:3" ht="12.75">
      <c r="B28" t="s">
        <v>69</v>
      </c>
      <c r="C28" t="s">
        <v>70</v>
      </c>
    </row>
    <row r="29" spans="2:3" ht="12.75">
      <c r="B29" t="s">
        <v>71</v>
      </c>
      <c r="C29" s="3" t="s">
        <v>86</v>
      </c>
    </row>
    <row r="30" spans="2:3" ht="12.75">
      <c r="B30" s="3" t="s">
        <v>159</v>
      </c>
      <c r="C30" t="s">
        <v>72</v>
      </c>
    </row>
    <row r="31" spans="2:3" ht="12.75">
      <c r="B31" t="s">
        <v>73</v>
      </c>
      <c r="C31" t="s">
        <v>160</v>
      </c>
    </row>
    <row r="32" spans="2:3" ht="12.75">
      <c r="B32" t="s">
        <v>74</v>
      </c>
      <c r="C32" s="3" t="s">
        <v>140</v>
      </c>
    </row>
    <row r="33" spans="2:3" ht="12.75">
      <c r="B33" t="s">
        <v>75</v>
      </c>
      <c r="C33" t="s">
        <v>76</v>
      </c>
    </row>
    <row r="34" spans="2:3" ht="12.75">
      <c r="B34" t="s">
        <v>77</v>
      </c>
      <c r="C34" s="25" t="s">
        <v>85</v>
      </c>
    </row>
    <row r="35" spans="2:3" ht="12.75">
      <c r="B35" t="s">
        <v>157</v>
      </c>
      <c r="C35" s="25" t="s">
        <v>158</v>
      </c>
    </row>
    <row r="36" spans="2:3" ht="12.75">
      <c r="B36" t="s">
        <v>79</v>
      </c>
      <c r="C36" t="s">
        <v>169</v>
      </c>
    </row>
    <row r="37" spans="2:3" ht="12.75">
      <c r="B37" t="s">
        <v>78</v>
      </c>
      <c r="C37" t="s">
        <v>84</v>
      </c>
    </row>
    <row r="38" spans="2:3" ht="12.75">
      <c r="B38" t="s">
        <v>80</v>
      </c>
      <c r="C38" t="s">
        <v>83</v>
      </c>
    </row>
    <row r="39" spans="2:3" ht="12.75">
      <c r="B39" t="s">
        <v>81</v>
      </c>
      <c r="C39" t="s">
        <v>82</v>
      </c>
    </row>
  </sheetData>
  <sheetProtection/>
  <printOptions/>
  <pageMargins left="0.75" right="0.16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6" width="10.7109375" style="0" customWidth="1"/>
  </cols>
  <sheetData>
    <row r="1" spans="1:6" ht="13.5" thickBot="1">
      <c r="A1" s="30" t="s">
        <v>23</v>
      </c>
      <c r="B1" s="55" t="s">
        <v>94</v>
      </c>
      <c r="C1" s="95">
        <v>40118</v>
      </c>
      <c r="D1" s="32">
        <v>39753</v>
      </c>
      <c r="E1" s="51">
        <v>39387</v>
      </c>
      <c r="F1" s="33">
        <v>39022</v>
      </c>
    </row>
    <row r="2" spans="1:6" ht="12.75">
      <c r="A2" s="52" t="s">
        <v>141</v>
      </c>
      <c r="B2" s="56">
        <f>(C2-D2)/D2</f>
        <v>-0.7404255319148936</v>
      </c>
      <c r="C2" s="108">
        <v>61</v>
      </c>
      <c r="D2" s="75">
        <v>235</v>
      </c>
      <c r="E2" s="50">
        <v>81</v>
      </c>
      <c r="F2" s="69">
        <v>275</v>
      </c>
    </row>
    <row r="3" spans="1:6" ht="12.75">
      <c r="A3" s="52" t="s">
        <v>142</v>
      </c>
      <c r="B3" s="56">
        <f aca="true" t="shared" si="0" ref="B3:B14">(C3-D3)/D3</f>
        <v>-0.35699481865284977</v>
      </c>
      <c r="C3" s="108">
        <v>1241</v>
      </c>
      <c r="D3" s="75">
        <v>1930</v>
      </c>
      <c r="E3" s="50">
        <v>1017</v>
      </c>
      <c r="F3" s="69">
        <v>2092</v>
      </c>
    </row>
    <row r="4" spans="1:6" ht="12.75">
      <c r="A4" s="52" t="s">
        <v>143</v>
      </c>
      <c r="B4" s="56">
        <f t="shared" si="0"/>
        <v>-0.3830074173971679</v>
      </c>
      <c r="C4" s="108">
        <v>915</v>
      </c>
      <c r="D4" s="75">
        <v>1483</v>
      </c>
      <c r="E4" s="50">
        <v>780</v>
      </c>
      <c r="F4" s="69">
        <v>1135</v>
      </c>
    </row>
    <row r="5" spans="1:6" ht="12.75">
      <c r="A5" s="52" t="s">
        <v>144</v>
      </c>
      <c r="B5" s="56"/>
      <c r="C5" s="108">
        <v>0</v>
      </c>
      <c r="D5" s="75">
        <v>0</v>
      </c>
      <c r="E5" s="50">
        <v>2</v>
      </c>
      <c r="F5" s="69">
        <v>5</v>
      </c>
    </row>
    <row r="6" spans="1:6" ht="12.75">
      <c r="A6" s="52" t="s">
        <v>145</v>
      </c>
      <c r="B6" s="56">
        <f t="shared" si="0"/>
        <v>-0.9195402298850575</v>
      </c>
      <c r="C6" s="108">
        <v>7</v>
      </c>
      <c r="D6" s="75">
        <v>87</v>
      </c>
      <c r="E6" s="50">
        <v>2</v>
      </c>
      <c r="F6" s="69">
        <v>67</v>
      </c>
    </row>
    <row r="7" spans="1:6" ht="12.75">
      <c r="A7" s="52" t="s">
        <v>1</v>
      </c>
      <c r="B7" s="56">
        <f t="shared" si="0"/>
        <v>-0.05405405405405406</v>
      </c>
      <c r="C7" s="108">
        <v>35</v>
      </c>
      <c r="D7" s="75">
        <v>37</v>
      </c>
      <c r="E7" s="50">
        <v>28</v>
      </c>
      <c r="F7" s="69">
        <v>51</v>
      </c>
    </row>
    <row r="8" spans="1:6" ht="12.75">
      <c r="A8" s="52" t="s">
        <v>146</v>
      </c>
      <c r="B8" s="56">
        <f t="shared" si="0"/>
        <v>-0.7575757575757576</v>
      </c>
      <c r="C8" s="108">
        <v>48</v>
      </c>
      <c r="D8" s="75">
        <v>198</v>
      </c>
      <c r="E8" s="50">
        <v>163</v>
      </c>
      <c r="F8" s="69">
        <v>278</v>
      </c>
    </row>
    <row r="9" spans="1:6" ht="12.75">
      <c r="A9" s="52" t="s">
        <v>147</v>
      </c>
      <c r="B9" s="56">
        <f t="shared" si="0"/>
        <v>0.10084925690021232</v>
      </c>
      <c r="C9" s="108">
        <v>1037</v>
      </c>
      <c r="D9" s="75">
        <v>942</v>
      </c>
      <c r="E9" s="50">
        <v>619</v>
      </c>
      <c r="F9" s="69">
        <v>1190</v>
      </c>
    </row>
    <row r="10" spans="1:7" ht="12.75">
      <c r="A10" s="52" t="s">
        <v>100</v>
      </c>
      <c r="B10" s="56">
        <f t="shared" si="0"/>
        <v>-0.10569105691056911</v>
      </c>
      <c r="C10" s="108">
        <v>110</v>
      </c>
      <c r="D10" s="75">
        <v>123</v>
      </c>
      <c r="E10" s="50">
        <v>117</v>
      </c>
      <c r="F10" s="69">
        <v>131</v>
      </c>
      <c r="G10" s="1"/>
    </row>
    <row r="11" spans="1:7" ht="12.75">
      <c r="A11" s="52" t="s">
        <v>33</v>
      </c>
      <c r="B11" s="56">
        <f t="shared" si="0"/>
        <v>0.1437908496732026</v>
      </c>
      <c r="C11" s="108">
        <v>175</v>
      </c>
      <c r="D11" s="75">
        <v>153</v>
      </c>
      <c r="E11" s="50">
        <v>118</v>
      </c>
      <c r="F11" s="69">
        <v>217</v>
      </c>
      <c r="G11" s="1"/>
    </row>
    <row r="12" spans="1:6" ht="12.75">
      <c r="A12" s="52" t="s">
        <v>148</v>
      </c>
      <c r="B12" s="56"/>
      <c r="C12" s="108">
        <v>0</v>
      </c>
      <c r="D12" s="75">
        <v>0</v>
      </c>
      <c r="E12" s="50">
        <v>3</v>
      </c>
      <c r="F12" s="69">
        <v>8</v>
      </c>
    </row>
    <row r="13" spans="1:6" ht="12.75">
      <c r="A13" s="52" t="s">
        <v>149</v>
      </c>
      <c r="B13" s="56">
        <f t="shared" si="0"/>
        <v>-0.12984822934232715</v>
      </c>
      <c r="C13" s="108">
        <v>516</v>
      </c>
      <c r="D13" s="75">
        <v>593</v>
      </c>
      <c r="E13" s="50">
        <v>98</v>
      </c>
      <c r="F13" s="69">
        <v>785</v>
      </c>
    </row>
    <row r="14" spans="1:6" ht="13.5" thickBot="1">
      <c r="A14" s="53" t="s">
        <v>5</v>
      </c>
      <c r="B14" s="57">
        <f t="shared" si="0"/>
        <v>-0.35294117647058826</v>
      </c>
      <c r="C14" s="108">
        <v>11</v>
      </c>
      <c r="D14" s="76">
        <v>17</v>
      </c>
      <c r="E14" s="49">
        <v>0</v>
      </c>
      <c r="F14" s="70">
        <v>8</v>
      </c>
    </row>
    <row r="15" spans="1:6" ht="13.5" thickBot="1">
      <c r="A15" s="39" t="s">
        <v>92</v>
      </c>
      <c r="B15" s="40">
        <f>(C15-D15)/D15</f>
        <v>-0.2832011038289065</v>
      </c>
      <c r="C15" s="110">
        <f>SUM(C2:C14)</f>
        <v>4156</v>
      </c>
      <c r="D15" s="84">
        <f>SUM(D2:D14)</f>
        <v>5798</v>
      </c>
      <c r="E15" s="54">
        <f>SUM(E2:E14)</f>
        <v>3028</v>
      </c>
      <c r="F15" s="42">
        <f>SUM(F2:F14)</f>
        <v>6242</v>
      </c>
    </row>
    <row r="17" spans="3:6" ht="12.75">
      <c r="C17" s="120">
        <f>C2+C3+C4+C5+C6+C8+C9+C10+C13+C14</f>
        <v>3946</v>
      </c>
      <c r="D17" s="120">
        <f>D2+D3+D4+D5+D6+D8+D9+D10+D13+D14</f>
        <v>5608</v>
      </c>
      <c r="E17" s="120">
        <f>E2+E3+E4+E5+E6+E8+E9+E10+E13+E14</f>
        <v>2879</v>
      </c>
      <c r="F17" s="120">
        <f>F2+F3+F4+F5+F6+F8+F9+F10+F13+F14</f>
        <v>5966</v>
      </c>
    </row>
    <row r="18" spans="2:6" ht="13.5" thickBot="1">
      <c r="B18" s="3"/>
      <c r="C18" s="3"/>
      <c r="D18" s="3"/>
      <c r="E18" s="3"/>
      <c r="F18" s="3"/>
    </row>
    <row r="19" spans="1:6" s="61" customFormat="1" ht="13.5" thickBot="1">
      <c r="A19" s="59" t="s">
        <v>122</v>
      </c>
      <c r="B19" s="60" t="s">
        <v>94</v>
      </c>
      <c r="C19" s="95">
        <v>40118</v>
      </c>
      <c r="D19" s="32">
        <v>39753</v>
      </c>
      <c r="E19" s="51">
        <v>39387</v>
      </c>
      <c r="F19" s="33">
        <v>39022</v>
      </c>
    </row>
    <row r="20" spans="1:6" s="58" customFormat="1" ht="13.5" thickBot="1">
      <c r="A20" s="64" t="s">
        <v>5</v>
      </c>
      <c r="B20" s="65">
        <f>(C20-D20)/D20</f>
        <v>-0.4793814432989691</v>
      </c>
      <c r="C20" s="106">
        <v>101</v>
      </c>
      <c r="D20" s="81">
        <v>194</v>
      </c>
      <c r="E20" s="66">
        <v>158</v>
      </c>
      <c r="F20" s="72">
        <v>193</v>
      </c>
    </row>
    <row r="21" spans="1:6" s="58" customFormat="1" ht="13.5" thickBot="1">
      <c r="A21" s="67" t="s">
        <v>92</v>
      </c>
      <c r="B21" s="68">
        <f>(C21-D21)/D21</f>
        <v>-0.4793814432989691</v>
      </c>
      <c r="C21" s="107">
        <f>SUM(C20:C20)</f>
        <v>101</v>
      </c>
      <c r="D21" s="86">
        <f>SUM(D20:D20)</f>
        <v>194</v>
      </c>
      <c r="E21" s="92">
        <f>SUM(E20:E20)</f>
        <v>158</v>
      </c>
      <c r="F21" s="93">
        <f>SUM(F20)</f>
        <v>193</v>
      </c>
    </row>
    <row r="22" s="58" customFormat="1" ht="12.75"/>
    <row r="23" s="58" customFormat="1" ht="12.75">
      <c r="A23" s="61"/>
    </row>
    <row r="24" s="58" customFormat="1" ht="12.75"/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24.7109375" style="0" customWidth="1"/>
    <col min="2" max="3" width="10.7109375" style="0" customWidth="1"/>
    <col min="4" max="4" width="10.7109375" style="9" customWidth="1"/>
    <col min="5" max="13" width="10.28125" style="0" customWidth="1"/>
    <col min="14" max="14" width="10.7109375" style="0" customWidth="1"/>
  </cols>
  <sheetData>
    <row r="1" spans="1:13" ht="13.5" thickBot="1">
      <c r="A1" s="30" t="s">
        <v>23</v>
      </c>
      <c r="B1" s="31" t="s">
        <v>188</v>
      </c>
      <c r="C1" s="151">
        <v>43405</v>
      </c>
      <c r="D1" s="99">
        <v>43040</v>
      </c>
      <c r="E1" s="32">
        <v>42675</v>
      </c>
      <c r="F1" s="32">
        <v>42309</v>
      </c>
      <c r="G1" s="32">
        <v>41944</v>
      </c>
      <c r="H1" s="32">
        <v>41579</v>
      </c>
      <c r="I1" s="32">
        <v>41214</v>
      </c>
      <c r="J1" s="32">
        <v>40848</v>
      </c>
      <c r="K1" s="32">
        <v>40483</v>
      </c>
      <c r="L1" s="32">
        <v>40118</v>
      </c>
      <c r="M1" s="48">
        <v>39753</v>
      </c>
    </row>
    <row r="2" spans="1:13" ht="12.75">
      <c r="A2" s="52" t="s">
        <v>121</v>
      </c>
      <c r="B2" s="88">
        <f>(C2-D2)/D2</f>
        <v>0.08296674291747316</v>
      </c>
      <c r="C2" s="191">
        <v>12309</v>
      </c>
      <c r="D2" s="135">
        <v>11366</v>
      </c>
      <c r="E2" s="135">
        <v>13671</v>
      </c>
      <c r="F2" s="135">
        <v>13331</v>
      </c>
      <c r="G2" s="135">
        <v>18858</v>
      </c>
      <c r="H2" s="135">
        <v>20660</v>
      </c>
      <c r="I2" s="135">
        <v>15154</v>
      </c>
      <c r="J2" s="135">
        <v>19571</v>
      </c>
      <c r="K2" s="135">
        <v>18010</v>
      </c>
      <c r="L2" s="136">
        <v>18923</v>
      </c>
      <c r="M2" s="121">
        <v>4322</v>
      </c>
    </row>
    <row r="3" spans="1:13" ht="12.75">
      <c r="A3" s="52" t="s">
        <v>125</v>
      </c>
      <c r="B3" s="88">
        <f aca="true" t="shared" si="0" ref="B3:B26">(C3-D3)/D3</f>
        <v>0.26792903596867673</v>
      </c>
      <c r="C3" s="191">
        <v>28659</v>
      </c>
      <c r="D3" s="135">
        <v>22603</v>
      </c>
      <c r="E3" s="135">
        <v>23519</v>
      </c>
      <c r="F3" s="135">
        <v>25208</v>
      </c>
      <c r="G3" s="135">
        <v>22742</v>
      </c>
      <c r="H3" s="135">
        <v>24813</v>
      </c>
      <c r="I3" s="135">
        <v>14250</v>
      </c>
      <c r="J3" s="135">
        <v>19797</v>
      </c>
      <c r="K3" s="135">
        <v>19638</v>
      </c>
      <c r="L3" s="75">
        <v>18904</v>
      </c>
      <c r="M3" s="121">
        <v>12797</v>
      </c>
    </row>
    <row r="4" spans="1:13" ht="12.75">
      <c r="A4" s="52" t="s">
        <v>3</v>
      </c>
      <c r="B4" s="88">
        <f t="shared" si="0"/>
        <v>1.0770995869664983</v>
      </c>
      <c r="C4" s="191">
        <v>4526</v>
      </c>
      <c r="D4" s="135">
        <v>2179</v>
      </c>
      <c r="E4" s="135">
        <v>3687</v>
      </c>
      <c r="F4" s="75">
        <v>4386</v>
      </c>
      <c r="G4" s="75">
        <v>3752</v>
      </c>
      <c r="H4" s="75">
        <v>3084</v>
      </c>
      <c r="I4" s="75">
        <v>1550</v>
      </c>
      <c r="J4" s="75">
        <v>5275</v>
      </c>
      <c r="K4" s="75">
        <v>4796</v>
      </c>
      <c r="L4" s="75">
        <v>8026</v>
      </c>
      <c r="M4" s="77">
        <v>5359</v>
      </c>
    </row>
    <row r="5" spans="1:13" ht="12.75">
      <c r="A5" s="52" t="s">
        <v>10</v>
      </c>
      <c r="B5" s="88">
        <f t="shared" si="0"/>
        <v>0.03756282227008681</v>
      </c>
      <c r="C5" s="191">
        <v>31793</v>
      </c>
      <c r="D5" s="135">
        <v>30642</v>
      </c>
      <c r="E5" s="135">
        <v>37247</v>
      </c>
      <c r="F5" s="75">
        <v>42167</v>
      </c>
      <c r="G5" s="75">
        <v>33021</v>
      </c>
      <c r="H5" s="75">
        <v>50252</v>
      </c>
      <c r="I5" s="75">
        <v>26645</v>
      </c>
      <c r="J5" s="75">
        <v>56454</v>
      </c>
      <c r="K5" s="75">
        <v>54241</v>
      </c>
      <c r="L5" s="75">
        <v>64541</v>
      </c>
      <c r="M5" s="77">
        <v>46516</v>
      </c>
    </row>
    <row r="6" spans="1:13" ht="12.75">
      <c r="A6" s="52" t="s">
        <v>28</v>
      </c>
      <c r="B6" s="88"/>
      <c r="C6" s="191"/>
      <c r="D6" s="135"/>
      <c r="E6" s="135"/>
      <c r="F6" s="75"/>
      <c r="I6" s="75">
        <v>644</v>
      </c>
      <c r="J6" s="75">
        <v>2521</v>
      </c>
      <c r="K6" s="75">
        <v>2342</v>
      </c>
      <c r="L6" s="75">
        <v>4332</v>
      </c>
      <c r="M6" s="77">
        <v>2406</v>
      </c>
    </row>
    <row r="7" spans="1:13" ht="12.75">
      <c r="A7" s="52" t="s">
        <v>154</v>
      </c>
      <c r="B7" s="88">
        <f t="shared" si="0"/>
        <v>0.3054670912951168</v>
      </c>
      <c r="C7" s="191">
        <v>4919</v>
      </c>
      <c r="D7" s="135">
        <v>3768</v>
      </c>
      <c r="E7" s="135">
        <v>4249</v>
      </c>
      <c r="F7" s="75">
        <v>4011</v>
      </c>
      <c r="G7" s="75">
        <v>2281</v>
      </c>
      <c r="H7" s="75">
        <v>1331</v>
      </c>
      <c r="I7" s="75">
        <v>1151</v>
      </c>
      <c r="J7" s="75">
        <v>2491</v>
      </c>
      <c r="K7" s="75">
        <v>1725</v>
      </c>
      <c r="L7" s="75"/>
      <c r="M7" s="77"/>
    </row>
    <row r="8" spans="1:13" ht="12.75">
      <c r="A8" s="52" t="s">
        <v>60</v>
      </c>
      <c r="B8" s="88">
        <f t="shared" si="0"/>
        <v>0.194236419575992</v>
      </c>
      <c r="C8" s="191">
        <v>120717</v>
      </c>
      <c r="D8" s="135">
        <v>101083</v>
      </c>
      <c r="E8" s="135">
        <v>99501</v>
      </c>
      <c r="F8" s="75">
        <v>102471</v>
      </c>
      <c r="G8" s="75">
        <v>88654</v>
      </c>
      <c r="H8" s="75">
        <v>79455</v>
      </c>
      <c r="I8" s="75">
        <v>51059</v>
      </c>
      <c r="J8" s="75">
        <v>66278</v>
      </c>
      <c r="K8" s="75">
        <v>57092</v>
      </c>
      <c r="L8" s="75">
        <v>51379</v>
      </c>
      <c r="M8" s="77">
        <v>18072</v>
      </c>
    </row>
    <row r="9" spans="1:13" ht="12.75">
      <c r="A9" s="52" t="s">
        <v>1</v>
      </c>
      <c r="B9" s="88">
        <f t="shared" si="0"/>
        <v>0.598943661971831</v>
      </c>
      <c r="C9" s="191">
        <v>4541</v>
      </c>
      <c r="D9" s="135">
        <v>2840</v>
      </c>
      <c r="E9" s="135">
        <v>2834</v>
      </c>
      <c r="F9" s="75">
        <v>2478</v>
      </c>
      <c r="G9" s="75">
        <v>1339</v>
      </c>
      <c r="H9" s="75">
        <v>1744</v>
      </c>
      <c r="I9" s="75">
        <v>1224</v>
      </c>
      <c r="J9" s="75">
        <v>2282</v>
      </c>
      <c r="K9" s="75">
        <v>1586</v>
      </c>
      <c r="L9" s="75">
        <v>2580</v>
      </c>
      <c r="M9" s="77">
        <v>2101</v>
      </c>
    </row>
    <row r="10" spans="1:13" ht="12.75">
      <c r="A10" s="52" t="s">
        <v>11</v>
      </c>
      <c r="B10" s="88">
        <f t="shared" si="0"/>
        <v>0.013207773033797533</v>
      </c>
      <c r="C10" s="191">
        <v>25392</v>
      </c>
      <c r="D10" s="135">
        <v>25061</v>
      </c>
      <c r="E10" s="135">
        <v>25783</v>
      </c>
      <c r="F10" s="75">
        <v>29664</v>
      </c>
      <c r="G10" s="75">
        <v>18526</v>
      </c>
      <c r="H10" s="75">
        <v>30078</v>
      </c>
      <c r="I10" s="75">
        <v>16803</v>
      </c>
      <c r="J10" s="75">
        <v>24360</v>
      </c>
      <c r="K10" s="75">
        <v>27242</v>
      </c>
      <c r="L10" s="75">
        <v>23022</v>
      </c>
      <c r="M10" s="77">
        <v>18752</v>
      </c>
    </row>
    <row r="11" spans="1:13" ht="12.75">
      <c r="A11" s="52" t="s">
        <v>8</v>
      </c>
      <c r="B11" s="88">
        <f t="shared" si="0"/>
        <v>0.18336999560052794</v>
      </c>
      <c r="C11" s="191">
        <v>134490</v>
      </c>
      <c r="D11" s="135">
        <v>113650</v>
      </c>
      <c r="E11" s="135">
        <v>113343</v>
      </c>
      <c r="F11" s="75">
        <v>100664</v>
      </c>
      <c r="G11" s="75">
        <v>86210</v>
      </c>
      <c r="H11" s="75">
        <v>88999</v>
      </c>
      <c r="I11" s="75">
        <v>72451</v>
      </c>
      <c r="J11" s="75">
        <v>88433</v>
      </c>
      <c r="K11" s="75">
        <v>95543</v>
      </c>
      <c r="L11" s="75">
        <v>94718</v>
      </c>
      <c r="M11" s="77">
        <v>72244</v>
      </c>
    </row>
    <row r="12" spans="1:15" ht="12.75">
      <c r="A12" s="52" t="s">
        <v>2</v>
      </c>
      <c r="B12" s="88">
        <f t="shared" si="0"/>
        <v>0.03863858141208244</v>
      </c>
      <c r="C12" s="191">
        <v>210746</v>
      </c>
      <c r="D12" s="135">
        <v>202906</v>
      </c>
      <c r="E12" s="135">
        <v>228086</v>
      </c>
      <c r="F12" s="75">
        <v>232849</v>
      </c>
      <c r="G12" s="75">
        <v>219062</v>
      </c>
      <c r="H12" s="75">
        <v>255704</v>
      </c>
      <c r="I12" s="75">
        <v>147693</v>
      </c>
      <c r="J12" s="75">
        <v>244563</v>
      </c>
      <c r="K12" s="75">
        <v>245987</v>
      </c>
      <c r="L12" s="75">
        <v>269067</v>
      </c>
      <c r="M12" s="77">
        <v>184448</v>
      </c>
      <c r="O12" s="1"/>
    </row>
    <row r="13" spans="1:15" ht="12.75">
      <c r="A13" s="52" t="s">
        <v>131</v>
      </c>
      <c r="B13" s="88">
        <f t="shared" si="0"/>
        <v>0.050988142292490116</v>
      </c>
      <c r="C13" s="191">
        <v>2659</v>
      </c>
      <c r="D13" s="135">
        <v>2530</v>
      </c>
      <c r="E13" s="135">
        <v>2331</v>
      </c>
      <c r="F13" s="75">
        <v>3060</v>
      </c>
      <c r="G13" s="75">
        <v>3307</v>
      </c>
      <c r="H13" s="75">
        <v>3232</v>
      </c>
      <c r="I13" s="75">
        <v>1996</v>
      </c>
      <c r="J13" s="75">
        <v>2417</v>
      </c>
      <c r="K13" s="75">
        <v>3486</v>
      </c>
      <c r="L13" s="75">
        <v>1412</v>
      </c>
      <c r="M13" s="77">
        <v>491</v>
      </c>
      <c r="O13" s="1"/>
    </row>
    <row r="14" spans="1:15" ht="12.75">
      <c r="A14" s="52" t="s">
        <v>16</v>
      </c>
      <c r="B14" s="88">
        <f t="shared" si="0"/>
        <v>-0.06212722477009719</v>
      </c>
      <c r="C14" s="191">
        <v>78937</v>
      </c>
      <c r="D14" s="135">
        <v>84166</v>
      </c>
      <c r="E14" s="135">
        <v>76436</v>
      </c>
      <c r="F14" s="75">
        <v>97795</v>
      </c>
      <c r="G14" s="75">
        <v>73556</v>
      </c>
      <c r="H14" s="75">
        <v>93452</v>
      </c>
      <c r="I14" s="75">
        <v>66768</v>
      </c>
      <c r="J14" s="75">
        <v>98956</v>
      </c>
      <c r="K14" s="75">
        <v>86998</v>
      </c>
      <c r="L14" s="75">
        <v>84255</v>
      </c>
      <c r="M14" s="77">
        <v>70471</v>
      </c>
      <c r="O14" s="1"/>
    </row>
    <row r="15" spans="1:13" ht="12.75">
      <c r="A15" s="52" t="s">
        <v>126</v>
      </c>
      <c r="B15" s="88">
        <f t="shared" si="0"/>
        <v>0.2266952395530384</v>
      </c>
      <c r="C15" s="191">
        <v>8014</v>
      </c>
      <c r="D15" s="135">
        <v>6533</v>
      </c>
      <c r="E15" s="135">
        <v>10694</v>
      </c>
      <c r="F15" s="75">
        <v>7637</v>
      </c>
      <c r="G15" s="75">
        <v>9023</v>
      </c>
      <c r="H15" s="75">
        <v>9244</v>
      </c>
      <c r="I15" s="75">
        <v>6197</v>
      </c>
      <c r="J15" s="75">
        <v>3959</v>
      </c>
      <c r="K15" s="75">
        <v>7223</v>
      </c>
      <c r="L15" s="75">
        <v>1294</v>
      </c>
      <c r="M15" s="77"/>
    </row>
    <row r="16" spans="1:16" s="16" customFormat="1" ht="12.75">
      <c r="A16" s="52" t="s">
        <v>9</v>
      </c>
      <c r="B16" s="88">
        <f t="shared" si="0"/>
        <v>0.18104184457728437</v>
      </c>
      <c r="C16" s="191">
        <v>1383</v>
      </c>
      <c r="D16" s="135">
        <v>1171</v>
      </c>
      <c r="E16" s="135">
        <v>1261</v>
      </c>
      <c r="F16" s="75">
        <v>1307</v>
      </c>
      <c r="G16" s="75">
        <v>1361</v>
      </c>
      <c r="H16" s="75">
        <v>1908</v>
      </c>
      <c r="I16" s="75">
        <v>940</v>
      </c>
      <c r="J16" s="75">
        <v>1723</v>
      </c>
      <c r="K16" s="75">
        <v>1461</v>
      </c>
      <c r="L16" s="75">
        <v>1979</v>
      </c>
      <c r="M16" s="77">
        <v>1552</v>
      </c>
      <c r="N16" s="1"/>
      <c r="P16"/>
    </row>
    <row r="17" spans="1:14" ht="12.75">
      <c r="A17" s="52" t="s">
        <v>127</v>
      </c>
      <c r="B17" s="88">
        <f t="shared" si="0"/>
        <v>0.42151209354477015</v>
      </c>
      <c r="C17" s="191">
        <v>17749</v>
      </c>
      <c r="D17" s="135">
        <v>12486</v>
      </c>
      <c r="E17" s="135">
        <v>15931</v>
      </c>
      <c r="F17" s="75">
        <v>14743</v>
      </c>
      <c r="G17" s="75">
        <v>10470</v>
      </c>
      <c r="H17" s="75">
        <v>10301</v>
      </c>
      <c r="I17" s="75">
        <v>7592</v>
      </c>
      <c r="J17" s="75">
        <v>6407</v>
      </c>
      <c r="K17" s="75">
        <v>8278</v>
      </c>
      <c r="L17" s="75">
        <v>8633</v>
      </c>
      <c r="M17" s="77">
        <v>6142</v>
      </c>
      <c r="N17" s="1"/>
    </row>
    <row r="18" spans="1:14" ht="12.75">
      <c r="A18" s="52" t="s">
        <v>26</v>
      </c>
      <c r="B18" s="88">
        <f t="shared" si="0"/>
        <v>0.40580930330456744</v>
      </c>
      <c r="C18" s="191">
        <v>13358</v>
      </c>
      <c r="D18" s="135">
        <v>9502</v>
      </c>
      <c r="E18" s="135">
        <v>9978</v>
      </c>
      <c r="F18" s="75">
        <v>11754</v>
      </c>
      <c r="G18" s="75">
        <v>4920</v>
      </c>
      <c r="H18" s="75">
        <v>9010</v>
      </c>
      <c r="I18" s="75">
        <v>2863</v>
      </c>
      <c r="J18" s="75">
        <v>6633</v>
      </c>
      <c r="K18" s="75">
        <v>7800</v>
      </c>
      <c r="L18" s="75">
        <v>10905</v>
      </c>
      <c r="M18" s="77">
        <v>8029</v>
      </c>
      <c r="N18" s="1"/>
    </row>
    <row r="19" spans="1:13" ht="12.75">
      <c r="A19" s="52" t="s">
        <v>128</v>
      </c>
      <c r="B19" s="88">
        <f t="shared" si="0"/>
        <v>-0.05929299850860575</v>
      </c>
      <c r="C19" s="191">
        <v>23338</v>
      </c>
      <c r="D19" s="135">
        <v>24809</v>
      </c>
      <c r="E19" s="135">
        <v>23010</v>
      </c>
      <c r="F19" s="75">
        <v>23185</v>
      </c>
      <c r="G19" s="75">
        <v>19175</v>
      </c>
      <c r="H19" s="75">
        <v>23508</v>
      </c>
      <c r="I19" s="75">
        <v>13314</v>
      </c>
      <c r="J19" s="75">
        <v>25185</v>
      </c>
      <c r="K19" s="75">
        <v>19008</v>
      </c>
      <c r="L19" s="75">
        <v>27571</v>
      </c>
      <c r="M19" s="77">
        <v>17254</v>
      </c>
    </row>
    <row r="20" spans="1:14" ht="12.75">
      <c r="A20" s="52" t="s">
        <v>120</v>
      </c>
      <c r="B20" s="88">
        <f t="shared" si="0"/>
        <v>0.5578158458244111</v>
      </c>
      <c r="C20" s="191">
        <v>1455</v>
      </c>
      <c r="D20" s="135">
        <v>934</v>
      </c>
      <c r="E20" s="135">
        <v>1518</v>
      </c>
      <c r="F20" s="75">
        <v>2373</v>
      </c>
      <c r="G20" s="75">
        <v>627</v>
      </c>
      <c r="H20" s="75">
        <v>1745</v>
      </c>
      <c r="I20" s="75">
        <v>651</v>
      </c>
      <c r="J20" s="75">
        <v>1884</v>
      </c>
      <c r="K20" s="75">
        <v>1331</v>
      </c>
      <c r="L20" s="75">
        <v>2352</v>
      </c>
      <c r="M20" s="77">
        <v>1398</v>
      </c>
      <c r="N20" s="16"/>
    </row>
    <row r="21" spans="1:13" ht="12.75">
      <c r="A21" s="52" t="s">
        <v>88</v>
      </c>
      <c r="B21" s="88">
        <f t="shared" si="0"/>
        <v>0.07375332540895455</v>
      </c>
      <c r="C21" s="191">
        <v>18970</v>
      </c>
      <c r="D21" s="135">
        <v>17667</v>
      </c>
      <c r="E21" s="135">
        <v>16333</v>
      </c>
      <c r="F21" s="75">
        <v>20243</v>
      </c>
      <c r="G21" s="75">
        <v>15803</v>
      </c>
      <c r="H21" s="75">
        <v>17673</v>
      </c>
      <c r="I21" s="75">
        <v>7773</v>
      </c>
      <c r="J21" s="75">
        <v>17071</v>
      </c>
      <c r="K21" s="75">
        <v>15540</v>
      </c>
      <c r="L21" s="75">
        <v>15726</v>
      </c>
      <c r="M21" s="77">
        <v>13130</v>
      </c>
    </row>
    <row r="22" spans="1:14" s="58" customFormat="1" ht="12.75">
      <c r="A22" s="52" t="s">
        <v>116</v>
      </c>
      <c r="B22" s="88">
        <f t="shared" si="0"/>
        <v>0.6577708006279435</v>
      </c>
      <c r="C22" s="191">
        <v>2112</v>
      </c>
      <c r="D22" s="135">
        <v>1274</v>
      </c>
      <c r="E22" s="135">
        <v>1464</v>
      </c>
      <c r="F22" s="75">
        <v>1998</v>
      </c>
      <c r="G22" s="75">
        <v>1567</v>
      </c>
      <c r="H22" s="75">
        <v>2410</v>
      </c>
      <c r="I22" s="75">
        <v>1553</v>
      </c>
      <c r="J22" s="75">
        <v>2326</v>
      </c>
      <c r="K22" s="75">
        <v>1783</v>
      </c>
      <c r="L22" s="75">
        <v>2481</v>
      </c>
      <c r="M22" s="77">
        <v>754</v>
      </c>
      <c r="N22"/>
    </row>
    <row r="23" spans="1:14" s="58" customFormat="1" ht="12.75">
      <c r="A23" s="52" t="s">
        <v>129</v>
      </c>
      <c r="B23" s="88">
        <f t="shared" si="0"/>
        <v>0.16744621141253507</v>
      </c>
      <c r="C23" s="191">
        <v>9984</v>
      </c>
      <c r="D23" s="135">
        <v>8552</v>
      </c>
      <c r="E23" s="135">
        <v>6118</v>
      </c>
      <c r="F23" s="75">
        <v>6034</v>
      </c>
      <c r="G23" s="75">
        <v>6467</v>
      </c>
      <c r="H23" s="75">
        <v>7838</v>
      </c>
      <c r="I23" s="75">
        <v>4501</v>
      </c>
      <c r="J23" s="75">
        <v>4694</v>
      </c>
      <c r="K23" s="75">
        <v>7147</v>
      </c>
      <c r="L23" s="75">
        <v>1449</v>
      </c>
      <c r="M23" s="77">
        <v>234</v>
      </c>
      <c r="N23"/>
    </row>
    <row r="24" spans="1:13" ht="12.75">
      <c r="A24" s="52" t="s">
        <v>130</v>
      </c>
      <c r="B24" s="88">
        <f t="shared" si="0"/>
        <v>0.02173445233483968</v>
      </c>
      <c r="C24" s="191">
        <v>4748</v>
      </c>
      <c r="D24" s="135">
        <v>4647</v>
      </c>
      <c r="E24" s="135">
        <v>6248</v>
      </c>
      <c r="F24" s="75">
        <v>6473</v>
      </c>
      <c r="G24" s="75">
        <v>5891</v>
      </c>
      <c r="H24" s="75">
        <v>6520</v>
      </c>
      <c r="I24" s="75">
        <v>5361</v>
      </c>
      <c r="J24" s="75">
        <v>5097</v>
      </c>
      <c r="K24" s="75">
        <v>5312</v>
      </c>
      <c r="L24" s="75">
        <v>5588</v>
      </c>
      <c r="M24" s="77">
        <v>5459</v>
      </c>
    </row>
    <row r="25" spans="1:13" ht="13.5" thickBot="1">
      <c r="A25" s="53" t="s">
        <v>5</v>
      </c>
      <c r="B25" s="89">
        <f t="shared" si="0"/>
        <v>0.6168903803131991</v>
      </c>
      <c r="C25" s="192">
        <v>11564</v>
      </c>
      <c r="D25" s="165">
        <v>7152</v>
      </c>
      <c r="E25" s="165">
        <v>24046</v>
      </c>
      <c r="F25" s="76">
        <v>24686</v>
      </c>
      <c r="G25" s="76">
        <v>14443</v>
      </c>
      <c r="H25" s="76">
        <v>12835</v>
      </c>
      <c r="I25" s="76">
        <v>5485</v>
      </c>
      <c r="J25" s="76">
        <v>7418</v>
      </c>
      <c r="K25" s="76">
        <v>6855</v>
      </c>
      <c r="L25" s="76">
        <v>9299</v>
      </c>
      <c r="M25" s="78">
        <v>20028</v>
      </c>
    </row>
    <row r="26" spans="1:13" ht="13.5" thickBot="1">
      <c r="A26" s="30" t="s">
        <v>92</v>
      </c>
      <c r="B26" s="90">
        <f t="shared" si="0"/>
        <v>0.10729712797177432</v>
      </c>
      <c r="C26" s="193">
        <f>SUM(C2:C25)</f>
        <v>772363</v>
      </c>
      <c r="D26" s="138">
        <f>SUM(D2:D25)</f>
        <v>697521</v>
      </c>
      <c r="E26" s="138">
        <f>SUM(E2:E25)</f>
        <v>747288</v>
      </c>
      <c r="F26" s="138">
        <f>SUM(F2:F25)</f>
        <v>778517</v>
      </c>
      <c r="G26" s="138">
        <f>SUM(G2:G25)</f>
        <v>661055</v>
      </c>
      <c r="H26" s="138">
        <f aca="true" t="shared" si="1" ref="H26:M26">SUM(H2:H25)</f>
        <v>755796</v>
      </c>
      <c r="I26" s="138">
        <f t="shared" si="1"/>
        <v>473618</v>
      </c>
      <c r="J26" s="138">
        <f t="shared" si="1"/>
        <v>715795</v>
      </c>
      <c r="K26" s="138">
        <f t="shared" si="1"/>
        <v>700424</v>
      </c>
      <c r="L26" s="137">
        <f t="shared" si="1"/>
        <v>728436</v>
      </c>
      <c r="M26" s="122">
        <f t="shared" si="1"/>
        <v>511959</v>
      </c>
    </row>
    <row r="27" ht="12.75">
      <c r="E27" s="9"/>
    </row>
    <row r="28" spans="1:14" ht="13.5" thickBot="1">
      <c r="A28" s="91"/>
      <c r="B28" s="58"/>
      <c r="C28" s="58"/>
      <c r="D28" s="166"/>
      <c r="E28" s="166"/>
      <c r="F28" s="58"/>
      <c r="G28" s="58"/>
      <c r="H28" s="58"/>
      <c r="I28" s="58"/>
      <c r="J28" s="58"/>
      <c r="K28" s="58"/>
      <c r="L28" s="58"/>
      <c r="M28" s="58"/>
      <c r="N28" s="58"/>
    </row>
    <row r="29" spans="1:13" ht="13.5" thickBot="1">
      <c r="A29" s="30" t="s">
        <v>24</v>
      </c>
      <c r="B29" s="31" t="s">
        <v>188</v>
      </c>
      <c r="C29" s="151">
        <v>43405</v>
      </c>
      <c r="D29" s="99">
        <v>43040</v>
      </c>
      <c r="E29" s="32">
        <v>42675</v>
      </c>
      <c r="F29" s="32">
        <v>42309</v>
      </c>
      <c r="G29" s="32">
        <f>G1</f>
        <v>41944</v>
      </c>
      <c r="H29" s="32">
        <v>41579</v>
      </c>
      <c r="I29" s="32">
        <v>41214</v>
      </c>
      <c r="J29" s="32">
        <v>40848</v>
      </c>
      <c r="K29" s="32">
        <v>40483</v>
      </c>
      <c r="L29" s="32">
        <v>40118</v>
      </c>
      <c r="M29" s="48">
        <v>39753</v>
      </c>
    </row>
    <row r="30" spans="1:13" ht="12.75">
      <c r="A30" s="52" t="s">
        <v>135</v>
      </c>
      <c r="B30" s="88">
        <f aca="true" t="shared" si="2" ref="B30:B38">(C30-D30)/D30</f>
        <v>-0.14032815198618306</v>
      </c>
      <c r="C30" s="191">
        <v>1991</v>
      </c>
      <c r="D30" s="135">
        <v>2316</v>
      </c>
      <c r="E30" s="135">
        <v>1977</v>
      </c>
      <c r="F30" s="135">
        <v>2349</v>
      </c>
      <c r="G30" s="135">
        <v>3273</v>
      </c>
      <c r="H30" s="135">
        <v>4012</v>
      </c>
      <c r="I30" s="135">
        <v>1918</v>
      </c>
      <c r="J30" s="135">
        <v>4990</v>
      </c>
      <c r="K30" s="135"/>
      <c r="L30" s="136">
        <v>3132</v>
      </c>
      <c r="M30" s="121">
        <v>1165</v>
      </c>
    </row>
    <row r="31" spans="1:13" ht="12.75">
      <c r="A31" s="52" t="s">
        <v>136</v>
      </c>
      <c r="B31" s="88"/>
      <c r="C31" s="191"/>
      <c r="D31" s="135"/>
      <c r="E31" s="135"/>
      <c r="F31" s="135"/>
      <c r="G31" s="135"/>
      <c r="H31" s="135"/>
      <c r="I31" s="135"/>
      <c r="J31" s="135"/>
      <c r="K31" s="135"/>
      <c r="L31" s="75">
        <v>73</v>
      </c>
      <c r="M31" s="121">
        <v>3</v>
      </c>
    </row>
    <row r="32" spans="1:13" ht="12.75">
      <c r="A32" s="52" t="s">
        <v>6</v>
      </c>
      <c r="B32" s="88">
        <f t="shared" si="2"/>
        <v>0.23816979819067502</v>
      </c>
      <c r="C32" s="191">
        <v>7117</v>
      </c>
      <c r="D32" s="135">
        <v>5748</v>
      </c>
      <c r="E32" s="135">
        <v>5287</v>
      </c>
      <c r="F32" s="75">
        <v>4856</v>
      </c>
      <c r="G32" s="75">
        <v>4619</v>
      </c>
      <c r="H32" s="75">
        <v>4996</v>
      </c>
      <c r="I32" s="75">
        <v>2990</v>
      </c>
      <c r="J32" s="75">
        <v>5208</v>
      </c>
      <c r="K32" s="75"/>
      <c r="L32" s="75">
        <v>5936</v>
      </c>
      <c r="M32" s="77">
        <v>3057</v>
      </c>
    </row>
    <row r="33" spans="1:13" ht="12.75">
      <c r="A33" s="62" t="s">
        <v>93</v>
      </c>
      <c r="B33" s="88">
        <f t="shared" si="2"/>
        <v>0.20992248062015503</v>
      </c>
      <c r="C33" s="191">
        <v>3902</v>
      </c>
      <c r="D33" s="135">
        <v>3225</v>
      </c>
      <c r="E33" s="135">
        <v>3160</v>
      </c>
      <c r="F33" s="75">
        <v>3791</v>
      </c>
      <c r="G33" s="75">
        <v>2872</v>
      </c>
      <c r="H33" s="75">
        <v>1894</v>
      </c>
      <c r="I33" s="75">
        <v>778</v>
      </c>
      <c r="J33" s="75">
        <v>2204</v>
      </c>
      <c r="K33" s="75"/>
      <c r="L33" s="75">
        <v>3205</v>
      </c>
      <c r="M33" s="77">
        <v>1375</v>
      </c>
    </row>
    <row r="34" spans="1:13" ht="12.75">
      <c r="A34" s="52" t="s">
        <v>137</v>
      </c>
      <c r="B34" s="88"/>
      <c r="C34" s="191">
        <v>257</v>
      </c>
      <c r="D34" s="135">
        <v>0</v>
      </c>
      <c r="E34" s="135">
        <v>0</v>
      </c>
      <c r="F34" s="75">
        <v>2</v>
      </c>
      <c r="G34" s="75">
        <v>0</v>
      </c>
      <c r="H34" s="75">
        <v>35</v>
      </c>
      <c r="I34" s="75">
        <v>0</v>
      </c>
      <c r="J34" s="75">
        <v>0</v>
      </c>
      <c r="K34" s="75"/>
      <c r="L34" s="75"/>
      <c r="M34" s="77"/>
    </row>
    <row r="35" spans="1:13" ht="12.75">
      <c r="A35" s="52" t="s">
        <v>138</v>
      </c>
      <c r="B35" s="88">
        <f t="shared" si="2"/>
        <v>0.3419633225458468</v>
      </c>
      <c r="C35" s="191">
        <v>1244</v>
      </c>
      <c r="D35" s="135">
        <v>927</v>
      </c>
      <c r="E35" s="135">
        <v>1048</v>
      </c>
      <c r="F35" s="75">
        <v>1316</v>
      </c>
      <c r="G35" s="75">
        <v>1322</v>
      </c>
      <c r="H35" s="75">
        <v>837</v>
      </c>
      <c r="I35" s="75">
        <v>937</v>
      </c>
      <c r="J35" s="75">
        <v>695</v>
      </c>
      <c r="K35" s="75"/>
      <c r="L35" s="75">
        <v>1013</v>
      </c>
      <c r="M35" s="77">
        <v>824</v>
      </c>
    </row>
    <row r="36" spans="1:13" ht="12.75">
      <c r="A36" s="52" t="s">
        <v>139</v>
      </c>
      <c r="B36" s="88">
        <f t="shared" si="2"/>
        <v>1.732806324110672</v>
      </c>
      <c r="C36" s="191">
        <v>3457</v>
      </c>
      <c r="D36" s="135">
        <v>1265</v>
      </c>
      <c r="E36" s="135">
        <v>1843</v>
      </c>
      <c r="F36" s="75">
        <v>1349</v>
      </c>
      <c r="G36" s="75">
        <v>499</v>
      </c>
      <c r="H36" s="75">
        <v>2103</v>
      </c>
      <c r="I36" s="75">
        <v>1099</v>
      </c>
      <c r="J36" s="75">
        <v>505</v>
      </c>
      <c r="K36" s="75"/>
      <c r="L36" s="75">
        <v>661</v>
      </c>
      <c r="M36" s="77">
        <v>133</v>
      </c>
    </row>
    <row r="37" spans="1:13" ht="13.5" thickBot="1">
      <c r="A37" s="53" t="s">
        <v>5</v>
      </c>
      <c r="B37" s="89">
        <f t="shared" si="2"/>
        <v>0.13481404958677687</v>
      </c>
      <c r="C37" s="192">
        <v>2197</v>
      </c>
      <c r="D37" s="165">
        <v>1936</v>
      </c>
      <c r="E37" s="165">
        <v>1247</v>
      </c>
      <c r="F37" s="75">
        <v>327</v>
      </c>
      <c r="G37" s="75">
        <v>1009</v>
      </c>
      <c r="H37" s="75">
        <v>526</v>
      </c>
      <c r="I37" s="75">
        <v>747</v>
      </c>
      <c r="J37" s="75">
        <v>939</v>
      </c>
      <c r="K37" s="75"/>
      <c r="L37" s="75">
        <v>1337</v>
      </c>
      <c r="M37" s="78">
        <v>1137</v>
      </c>
    </row>
    <row r="38" spans="1:13" ht="13.5" thickBot="1">
      <c r="A38" s="30" t="s">
        <v>92</v>
      </c>
      <c r="B38" s="90">
        <f t="shared" si="2"/>
        <v>0.30797171953038854</v>
      </c>
      <c r="C38" s="193">
        <f>SUM(C30:C37)</f>
        <v>20165</v>
      </c>
      <c r="D38" s="138">
        <f>SUM(D30:D37)</f>
        <v>15417</v>
      </c>
      <c r="E38" s="138">
        <f>SUM(E30:E37)</f>
        <v>14562</v>
      </c>
      <c r="F38" s="137">
        <f aca="true" t="shared" si="3" ref="F38:M38">SUM(F30:F37)</f>
        <v>13990</v>
      </c>
      <c r="G38" s="137">
        <f t="shared" si="3"/>
        <v>13594</v>
      </c>
      <c r="H38" s="137">
        <f t="shared" si="3"/>
        <v>14403</v>
      </c>
      <c r="I38" s="137">
        <f t="shared" si="3"/>
        <v>8469</v>
      </c>
      <c r="J38" s="137">
        <f t="shared" si="3"/>
        <v>14541</v>
      </c>
      <c r="K38" s="137">
        <f t="shared" si="3"/>
        <v>0</v>
      </c>
      <c r="L38" s="137">
        <f t="shared" si="3"/>
        <v>15357</v>
      </c>
      <c r="M38" s="122">
        <f t="shared" si="3"/>
        <v>7694</v>
      </c>
    </row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4.7109375" style="0" customWidth="1"/>
    <col min="2" max="3" width="10.7109375" style="0" customWidth="1"/>
    <col min="4" max="4" width="10.7109375" style="9" customWidth="1"/>
    <col min="5" max="14" width="10.140625" style="0" bestFit="1" customWidth="1"/>
  </cols>
  <sheetData>
    <row r="1" spans="1:14" ht="13.5" thickBot="1">
      <c r="A1" s="30" t="s">
        <v>23</v>
      </c>
      <c r="B1" s="31" t="s">
        <v>188</v>
      </c>
      <c r="C1" s="151">
        <v>43405</v>
      </c>
      <c r="D1" s="99">
        <v>43040</v>
      </c>
      <c r="E1" s="32">
        <v>42675</v>
      </c>
      <c r="F1" s="32">
        <v>42309</v>
      </c>
      <c r="G1" s="32">
        <v>41944</v>
      </c>
      <c r="H1" s="32">
        <v>41579</v>
      </c>
      <c r="I1" s="32">
        <v>41214</v>
      </c>
      <c r="J1" s="32">
        <v>40848</v>
      </c>
      <c r="K1" s="32">
        <v>40483</v>
      </c>
      <c r="L1" s="32">
        <v>40118</v>
      </c>
      <c r="M1" s="32">
        <v>39753</v>
      </c>
      <c r="N1" s="33">
        <v>39387</v>
      </c>
    </row>
    <row r="2" spans="1:14" ht="12.75">
      <c r="A2" s="52" t="s">
        <v>3</v>
      </c>
      <c r="B2" s="56">
        <f>(C2-D2)/D2</f>
        <v>1.5779521940777739</v>
      </c>
      <c r="C2" s="108">
        <v>14452</v>
      </c>
      <c r="D2" s="75">
        <v>5606</v>
      </c>
      <c r="E2" s="75">
        <v>16047</v>
      </c>
      <c r="F2" s="75">
        <v>10706</v>
      </c>
      <c r="G2" s="75">
        <v>15173</v>
      </c>
      <c r="H2" s="75">
        <v>8304</v>
      </c>
      <c r="I2" s="75">
        <v>12151</v>
      </c>
      <c r="J2" s="75">
        <v>9356</v>
      </c>
      <c r="K2" s="75">
        <v>10715</v>
      </c>
      <c r="L2" s="75">
        <v>11195</v>
      </c>
      <c r="M2" s="75">
        <v>14682</v>
      </c>
      <c r="N2" s="69">
        <v>13644</v>
      </c>
    </row>
    <row r="3" spans="1:14" ht="12.75">
      <c r="A3" s="52" t="s">
        <v>10</v>
      </c>
      <c r="B3" s="56">
        <f aca="true" t="shared" si="0" ref="B3:B21">(C3-D3)/D3</f>
        <v>0.9737511412547281</v>
      </c>
      <c r="C3" s="108">
        <v>60531</v>
      </c>
      <c r="D3" s="75">
        <v>30668</v>
      </c>
      <c r="E3" s="75">
        <v>52491</v>
      </c>
      <c r="F3" s="75">
        <v>57007</v>
      </c>
      <c r="G3" s="75">
        <v>53223</v>
      </c>
      <c r="H3" s="75">
        <v>38724</v>
      </c>
      <c r="I3" s="75">
        <v>44953</v>
      </c>
      <c r="J3" s="75">
        <v>41665</v>
      </c>
      <c r="K3" s="75">
        <v>32240</v>
      </c>
      <c r="L3" s="75">
        <v>36692</v>
      </c>
      <c r="M3" s="75">
        <v>28176</v>
      </c>
      <c r="N3" s="69">
        <v>28850</v>
      </c>
    </row>
    <row r="4" spans="1:14" ht="12.75">
      <c r="A4" s="52" t="s">
        <v>4</v>
      </c>
      <c r="B4" s="56">
        <f t="shared" si="0"/>
        <v>0.5664739884393064</v>
      </c>
      <c r="C4" s="108">
        <v>271</v>
      </c>
      <c r="D4" s="75">
        <v>173</v>
      </c>
      <c r="E4" s="75">
        <v>513</v>
      </c>
      <c r="F4" s="75">
        <v>840</v>
      </c>
      <c r="G4" s="75">
        <v>702</v>
      </c>
      <c r="H4" s="75">
        <v>593</v>
      </c>
      <c r="I4" s="75">
        <v>818</v>
      </c>
      <c r="J4" s="75">
        <v>1329</v>
      </c>
      <c r="K4" s="75">
        <v>1359</v>
      </c>
      <c r="L4" s="75">
        <v>2957</v>
      </c>
      <c r="M4" s="75">
        <v>4493</v>
      </c>
      <c r="N4" s="69">
        <v>3432</v>
      </c>
    </row>
    <row r="5" spans="1:14" ht="12.75">
      <c r="A5" s="52" t="s">
        <v>1</v>
      </c>
      <c r="B5" s="56">
        <f t="shared" si="0"/>
        <v>0.40767302090630875</v>
      </c>
      <c r="C5" s="108">
        <v>76355</v>
      </c>
      <c r="D5" s="75">
        <v>54242</v>
      </c>
      <c r="E5" s="75">
        <v>77459</v>
      </c>
      <c r="F5" s="75">
        <v>86519</v>
      </c>
      <c r="G5" s="75">
        <v>96312</v>
      </c>
      <c r="H5" s="75">
        <v>62982</v>
      </c>
      <c r="I5" s="75">
        <v>73557</v>
      </c>
      <c r="J5" s="75">
        <v>80051</v>
      </c>
      <c r="K5" s="75">
        <v>66340</v>
      </c>
      <c r="L5" s="75">
        <v>92819</v>
      </c>
      <c r="M5" s="75">
        <v>62558</v>
      </c>
      <c r="N5" s="69">
        <v>79379</v>
      </c>
    </row>
    <row r="6" spans="1:14" ht="12.75">
      <c r="A6" s="52" t="s">
        <v>11</v>
      </c>
      <c r="B6" s="56">
        <f t="shared" si="0"/>
        <v>1.0451977401129944</v>
      </c>
      <c r="C6" s="108">
        <v>7964</v>
      </c>
      <c r="D6" s="75">
        <v>3894</v>
      </c>
      <c r="E6" s="75">
        <v>9198</v>
      </c>
      <c r="F6" s="75">
        <v>10424</v>
      </c>
      <c r="G6" s="75">
        <v>10671</v>
      </c>
      <c r="H6" s="75">
        <v>10070</v>
      </c>
      <c r="I6" s="75">
        <v>8126</v>
      </c>
      <c r="J6" s="75">
        <v>9638</v>
      </c>
      <c r="K6" s="75">
        <v>7495</v>
      </c>
      <c r="L6" s="75">
        <v>7749</v>
      </c>
      <c r="M6" s="75">
        <v>5933</v>
      </c>
      <c r="N6" s="69">
        <v>6501</v>
      </c>
    </row>
    <row r="7" spans="1:14" ht="12.75">
      <c r="A7" s="52" t="s">
        <v>8</v>
      </c>
      <c r="B7" s="56">
        <f t="shared" si="0"/>
        <v>0.584448753724637</v>
      </c>
      <c r="C7" s="108">
        <v>33500</v>
      </c>
      <c r="D7" s="75">
        <v>21143</v>
      </c>
      <c r="E7" s="75">
        <v>30189</v>
      </c>
      <c r="F7" s="75">
        <v>29004</v>
      </c>
      <c r="G7" s="75">
        <v>25789</v>
      </c>
      <c r="H7" s="75">
        <v>24107</v>
      </c>
      <c r="I7" s="75">
        <v>26349</v>
      </c>
      <c r="J7" s="75">
        <v>26404</v>
      </c>
      <c r="K7" s="75">
        <v>19137</v>
      </c>
      <c r="L7" s="75">
        <v>24303</v>
      </c>
      <c r="M7" s="75">
        <v>26229</v>
      </c>
      <c r="N7" s="69">
        <v>21738</v>
      </c>
    </row>
    <row r="8" spans="1:14" ht="12.75">
      <c r="A8" s="52" t="s">
        <v>13</v>
      </c>
      <c r="B8" s="56">
        <f t="shared" si="0"/>
        <v>0.24082232011747431</v>
      </c>
      <c r="C8" s="108">
        <v>845</v>
      </c>
      <c r="D8" s="75">
        <v>681</v>
      </c>
      <c r="E8" s="75">
        <v>2007</v>
      </c>
      <c r="F8" s="75">
        <v>1926</v>
      </c>
      <c r="G8" s="75">
        <v>4261</v>
      </c>
      <c r="H8" s="75">
        <v>3769</v>
      </c>
      <c r="I8" s="75">
        <v>6321</v>
      </c>
      <c r="J8" s="75">
        <v>7353</v>
      </c>
      <c r="K8" s="75">
        <v>8626</v>
      </c>
      <c r="L8" s="75">
        <v>14718</v>
      </c>
      <c r="M8" s="75">
        <v>15828</v>
      </c>
      <c r="N8" s="69">
        <v>13778</v>
      </c>
    </row>
    <row r="9" spans="1:14" ht="12.75">
      <c r="A9" s="52" t="s">
        <v>2</v>
      </c>
      <c r="B9" s="56">
        <f t="shared" si="0"/>
        <v>-0.03561643835616438</v>
      </c>
      <c r="C9" s="108">
        <v>5280</v>
      </c>
      <c r="D9" s="75">
        <v>5475</v>
      </c>
      <c r="E9" s="75">
        <v>9868</v>
      </c>
      <c r="F9" s="75">
        <v>10091</v>
      </c>
      <c r="G9" s="75">
        <v>10736</v>
      </c>
      <c r="H9" s="75">
        <v>13474</v>
      </c>
      <c r="I9" s="75">
        <v>16324</v>
      </c>
      <c r="J9" s="75">
        <v>20534</v>
      </c>
      <c r="K9" s="75">
        <v>16123</v>
      </c>
      <c r="L9" s="75">
        <v>23140</v>
      </c>
      <c r="M9" s="75">
        <v>25128</v>
      </c>
      <c r="N9" s="69">
        <v>22281</v>
      </c>
    </row>
    <row r="10" spans="1:14" ht="12.75">
      <c r="A10" s="52" t="s">
        <v>14</v>
      </c>
      <c r="B10" s="56">
        <f t="shared" si="0"/>
        <v>1.3003055434308162</v>
      </c>
      <c r="C10" s="108">
        <v>5270</v>
      </c>
      <c r="D10" s="75">
        <v>2291</v>
      </c>
      <c r="E10" s="75">
        <v>5371</v>
      </c>
      <c r="F10" s="75">
        <v>7391</v>
      </c>
      <c r="G10" s="75">
        <v>5829</v>
      </c>
      <c r="H10" s="75">
        <v>2332</v>
      </c>
      <c r="I10" s="75">
        <v>3423</v>
      </c>
      <c r="J10" s="75">
        <v>6515</v>
      </c>
      <c r="K10" s="75">
        <v>7225</v>
      </c>
      <c r="L10" s="75">
        <v>8171</v>
      </c>
      <c r="M10" s="75">
        <v>9295</v>
      </c>
      <c r="N10" s="69">
        <v>8073</v>
      </c>
    </row>
    <row r="11" spans="1:15" ht="12.75">
      <c r="A11" s="52" t="s">
        <v>9</v>
      </c>
      <c r="B11" s="56">
        <f t="shared" si="0"/>
        <v>0.05958223947038009</v>
      </c>
      <c r="C11" s="108">
        <v>9283</v>
      </c>
      <c r="D11" s="75">
        <v>8761</v>
      </c>
      <c r="E11" s="75">
        <v>12177</v>
      </c>
      <c r="F11" s="75">
        <v>16952</v>
      </c>
      <c r="G11" s="75">
        <v>12863</v>
      </c>
      <c r="H11" s="75">
        <v>22628</v>
      </c>
      <c r="I11" s="75">
        <v>25200</v>
      </c>
      <c r="J11" s="75">
        <v>24517</v>
      </c>
      <c r="K11" s="75">
        <v>23439</v>
      </c>
      <c r="L11" s="75">
        <v>29083</v>
      </c>
      <c r="M11" s="75">
        <v>29309</v>
      </c>
      <c r="N11" s="69">
        <v>22138</v>
      </c>
      <c r="O11" s="1"/>
    </row>
    <row r="12" spans="1:15" ht="12.75">
      <c r="A12" s="52" t="s">
        <v>100</v>
      </c>
      <c r="B12" s="56">
        <f t="shared" si="0"/>
        <v>0.061224489795918366</v>
      </c>
      <c r="C12" s="108">
        <v>208</v>
      </c>
      <c r="D12" s="75">
        <v>196</v>
      </c>
      <c r="E12" s="75">
        <v>169</v>
      </c>
      <c r="F12" s="75">
        <v>384</v>
      </c>
      <c r="G12" s="75">
        <v>249</v>
      </c>
      <c r="H12" s="75">
        <v>295</v>
      </c>
      <c r="I12" s="75">
        <v>407</v>
      </c>
      <c r="J12" s="75">
        <v>457</v>
      </c>
      <c r="K12" s="75">
        <v>750</v>
      </c>
      <c r="L12" s="75">
        <v>1418</v>
      </c>
      <c r="M12" s="75">
        <v>1931</v>
      </c>
      <c r="N12" s="69">
        <v>1385</v>
      </c>
      <c r="O12" s="1"/>
    </row>
    <row r="13" spans="1:15" ht="12.75">
      <c r="A13" s="52" t="s">
        <v>26</v>
      </c>
      <c r="B13" s="56">
        <f t="shared" si="0"/>
        <v>1.398608421203644</v>
      </c>
      <c r="C13" s="108">
        <v>33439</v>
      </c>
      <c r="D13" s="75">
        <v>13941</v>
      </c>
      <c r="E13" s="75">
        <v>36387</v>
      </c>
      <c r="F13" s="75">
        <v>32154</v>
      </c>
      <c r="G13" s="75">
        <v>42672</v>
      </c>
      <c r="H13" s="75">
        <v>34393</v>
      </c>
      <c r="I13" s="75">
        <v>45817</v>
      </c>
      <c r="J13" s="75">
        <v>54735</v>
      </c>
      <c r="K13" s="75">
        <v>43952</v>
      </c>
      <c r="L13" s="75">
        <v>67881</v>
      </c>
      <c r="M13" s="75">
        <v>57888</v>
      </c>
      <c r="N13" s="69">
        <v>67892</v>
      </c>
      <c r="O13" s="1"/>
    </row>
    <row r="14" spans="1:14" ht="12.75">
      <c r="A14" s="52" t="s">
        <v>25</v>
      </c>
      <c r="B14" s="56">
        <f t="shared" si="0"/>
        <v>0.9955965909090909</v>
      </c>
      <c r="C14" s="108">
        <v>56196</v>
      </c>
      <c r="D14" s="75">
        <v>28160</v>
      </c>
      <c r="E14" s="75">
        <v>62617</v>
      </c>
      <c r="F14" s="75">
        <v>59176</v>
      </c>
      <c r="G14" s="75">
        <v>75877</v>
      </c>
      <c r="H14" s="75">
        <v>49841</v>
      </c>
      <c r="I14" s="75">
        <v>71442</v>
      </c>
      <c r="J14" s="75">
        <v>79880</v>
      </c>
      <c r="K14" s="75">
        <v>61794</v>
      </c>
      <c r="L14" s="75">
        <v>86888</v>
      </c>
      <c r="M14" s="75">
        <v>71564</v>
      </c>
      <c r="N14" s="69">
        <v>69940</v>
      </c>
    </row>
    <row r="15" spans="1:14" ht="12.75">
      <c r="A15" s="52" t="s">
        <v>12</v>
      </c>
      <c r="B15" s="56">
        <f t="shared" si="0"/>
        <v>0.4084126424626953</v>
      </c>
      <c r="C15" s="108">
        <v>11987</v>
      </c>
      <c r="D15" s="75">
        <v>8511</v>
      </c>
      <c r="E15" s="75">
        <v>14180</v>
      </c>
      <c r="F15" s="75">
        <v>14698</v>
      </c>
      <c r="G15" s="75">
        <v>15921</v>
      </c>
      <c r="H15" s="75">
        <v>13032</v>
      </c>
      <c r="I15" s="75">
        <v>15089</v>
      </c>
      <c r="J15" s="75">
        <v>13472</v>
      </c>
      <c r="K15" s="75">
        <v>11372</v>
      </c>
      <c r="L15" s="75">
        <v>14562</v>
      </c>
      <c r="M15" s="75">
        <v>13382</v>
      </c>
      <c r="N15" s="69">
        <v>12767</v>
      </c>
    </row>
    <row r="16" spans="1:14" ht="12.75">
      <c r="A16" s="52" t="s">
        <v>133</v>
      </c>
      <c r="B16" s="56">
        <f t="shared" si="0"/>
        <v>0.6841023767665928</v>
      </c>
      <c r="C16" s="108">
        <v>73762</v>
      </c>
      <c r="D16" s="75">
        <v>43799</v>
      </c>
      <c r="E16" s="75">
        <v>63657</v>
      </c>
      <c r="F16" s="75">
        <v>42070</v>
      </c>
      <c r="G16" s="75">
        <v>48773</v>
      </c>
      <c r="H16" s="75">
        <v>21818</v>
      </c>
      <c r="I16" s="75">
        <v>32848</v>
      </c>
      <c r="J16" s="75">
        <v>25065</v>
      </c>
      <c r="K16" s="75">
        <v>19397</v>
      </c>
      <c r="L16" s="75">
        <v>22574</v>
      </c>
      <c r="M16" s="75">
        <v>15235</v>
      </c>
      <c r="N16" s="69">
        <v>15633</v>
      </c>
    </row>
    <row r="17" spans="1:16" s="16" customFormat="1" ht="12.75">
      <c r="A17" s="52" t="s">
        <v>89</v>
      </c>
      <c r="B17" s="56">
        <f t="shared" si="0"/>
        <v>-0.3312883435582822</v>
      </c>
      <c r="C17" s="108">
        <v>2507</v>
      </c>
      <c r="D17" s="75">
        <v>3749</v>
      </c>
      <c r="E17" s="75">
        <v>5544</v>
      </c>
      <c r="F17" s="75">
        <v>4054</v>
      </c>
      <c r="G17" s="75">
        <v>4485</v>
      </c>
      <c r="H17" s="75">
        <v>2929</v>
      </c>
      <c r="I17" s="75">
        <v>5454</v>
      </c>
      <c r="J17" s="75">
        <v>5366</v>
      </c>
      <c r="K17" s="75">
        <v>3808</v>
      </c>
      <c r="L17" s="75">
        <v>6260</v>
      </c>
      <c r="M17" s="75">
        <v>5386</v>
      </c>
      <c r="N17" s="69">
        <v>4483</v>
      </c>
      <c r="P17"/>
    </row>
    <row r="18" spans="1:14" ht="12.75">
      <c r="A18" s="52" t="s">
        <v>97</v>
      </c>
      <c r="B18" s="56">
        <f t="shared" si="0"/>
        <v>3.2183006535947714</v>
      </c>
      <c r="C18" s="108">
        <v>3227</v>
      </c>
      <c r="D18" s="75">
        <v>765</v>
      </c>
      <c r="E18" s="75">
        <v>1971</v>
      </c>
      <c r="F18" s="75">
        <v>2624</v>
      </c>
      <c r="G18" s="75">
        <v>2811</v>
      </c>
      <c r="H18" s="75">
        <v>2397</v>
      </c>
      <c r="I18" s="75">
        <v>2287</v>
      </c>
      <c r="J18" s="75">
        <v>2883</v>
      </c>
      <c r="K18" s="75">
        <v>2046</v>
      </c>
      <c r="L18" s="75">
        <v>2462</v>
      </c>
      <c r="M18" s="75">
        <v>1729</v>
      </c>
      <c r="N18" s="69">
        <v>2301</v>
      </c>
    </row>
    <row r="19" spans="1:14" ht="12.75">
      <c r="A19" s="52" t="s">
        <v>152</v>
      </c>
      <c r="B19" s="56">
        <f t="shared" si="0"/>
        <v>1.040626378473754</v>
      </c>
      <c r="C19" s="108">
        <v>46261</v>
      </c>
      <c r="D19" s="75">
        <v>22670</v>
      </c>
      <c r="E19" s="75">
        <v>33662</v>
      </c>
      <c r="F19" s="75">
        <v>33093</v>
      </c>
      <c r="G19" s="75">
        <v>30828</v>
      </c>
      <c r="H19" s="75">
        <v>21356</v>
      </c>
      <c r="I19" s="75">
        <v>21161</v>
      </c>
      <c r="J19" s="75">
        <v>17170</v>
      </c>
      <c r="K19" s="75">
        <v>9266</v>
      </c>
      <c r="L19" s="75">
        <v>9391</v>
      </c>
      <c r="M19" s="75">
        <v>3155</v>
      </c>
      <c r="N19" s="69">
        <v>3814</v>
      </c>
    </row>
    <row r="20" spans="1:14" ht="13.5" thickBot="1">
      <c r="A20" s="53" t="s">
        <v>5</v>
      </c>
      <c r="B20" s="57">
        <f t="shared" si="0"/>
        <v>0.5734669611007305</v>
      </c>
      <c r="C20" s="109">
        <v>9263</v>
      </c>
      <c r="D20" s="76">
        <v>5887</v>
      </c>
      <c r="E20" s="76">
        <v>10441</v>
      </c>
      <c r="F20" s="76">
        <v>8414</v>
      </c>
      <c r="G20" s="76">
        <v>10422</v>
      </c>
      <c r="H20" s="76">
        <v>8470</v>
      </c>
      <c r="I20" s="76">
        <v>9459</v>
      </c>
      <c r="J20" s="76">
        <v>9885</v>
      </c>
      <c r="K20" s="76">
        <v>9521</v>
      </c>
      <c r="L20" s="76">
        <v>14504</v>
      </c>
      <c r="M20" s="76">
        <v>11414</v>
      </c>
      <c r="N20" s="70">
        <v>11586</v>
      </c>
    </row>
    <row r="21" spans="1:14" ht="13.5" thickBot="1">
      <c r="A21" s="39" t="s">
        <v>92</v>
      </c>
      <c r="B21" s="40">
        <f t="shared" si="0"/>
        <v>0.7290109434715208</v>
      </c>
      <c r="C21" s="96">
        <f>SUM(C2:C20)</f>
        <v>450601</v>
      </c>
      <c r="D21" s="41">
        <f>SUM(D2:D20)</f>
        <v>260612</v>
      </c>
      <c r="E21" s="84">
        <f aca="true" t="shared" si="1" ref="E21:N21">SUM(E2:E20)</f>
        <v>443948</v>
      </c>
      <c r="F21" s="84">
        <f t="shared" si="1"/>
        <v>427527</v>
      </c>
      <c r="G21" s="84">
        <f t="shared" si="1"/>
        <v>467597</v>
      </c>
      <c r="H21" s="84">
        <f t="shared" si="1"/>
        <v>341514</v>
      </c>
      <c r="I21" s="84">
        <f t="shared" si="1"/>
        <v>421186</v>
      </c>
      <c r="J21" s="84">
        <f t="shared" si="1"/>
        <v>436275</v>
      </c>
      <c r="K21" s="84">
        <f t="shared" si="1"/>
        <v>354605</v>
      </c>
      <c r="L21" s="84">
        <f t="shared" si="1"/>
        <v>476767</v>
      </c>
      <c r="M21" s="84">
        <f t="shared" si="1"/>
        <v>403315</v>
      </c>
      <c r="N21" s="156">
        <f t="shared" si="1"/>
        <v>409615</v>
      </c>
    </row>
    <row r="22" spans="5:14" ht="12.75">
      <c r="E22" s="9"/>
      <c r="N22" s="157"/>
    </row>
    <row r="23" spans="2:14" ht="13.5" thickBot="1">
      <c r="B23" s="3"/>
      <c r="C23" s="3"/>
      <c r="D23" s="85"/>
      <c r="E23" s="85"/>
      <c r="F23" s="3"/>
      <c r="G23" s="3"/>
      <c r="H23" s="3"/>
      <c r="I23" s="3"/>
      <c r="J23" s="3"/>
      <c r="K23" s="3"/>
      <c r="L23" s="3"/>
      <c r="M23" s="3"/>
      <c r="N23" s="158"/>
    </row>
    <row r="24" spans="1:14" s="61" customFormat="1" ht="13.5" thickBot="1">
      <c r="A24" s="59" t="s">
        <v>24</v>
      </c>
      <c r="B24" s="31" t="s">
        <v>188</v>
      </c>
      <c r="C24" s="151">
        <v>43405</v>
      </c>
      <c r="D24" s="99">
        <v>43040</v>
      </c>
      <c r="E24" s="32">
        <v>42675</v>
      </c>
      <c r="F24" s="32">
        <v>42309</v>
      </c>
      <c r="G24" s="32">
        <f>G1</f>
        <v>41944</v>
      </c>
      <c r="H24" s="32">
        <v>41579</v>
      </c>
      <c r="I24" s="32">
        <v>41214</v>
      </c>
      <c r="J24" s="32">
        <v>40848</v>
      </c>
      <c r="K24" s="32">
        <v>40483</v>
      </c>
      <c r="L24" s="32">
        <v>40118</v>
      </c>
      <c r="M24" s="32">
        <v>39753</v>
      </c>
      <c r="N24" s="33">
        <v>39387</v>
      </c>
    </row>
    <row r="25" spans="1:14" s="58" customFormat="1" ht="13.5" thickBot="1">
      <c r="A25" s="64" t="s">
        <v>5</v>
      </c>
      <c r="B25" s="111">
        <f>(C25-D25)/D25</f>
        <v>0.6741624598439652</v>
      </c>
      <c r="C25" s="106">
        <v>7296</v>
      </c>
      <c r="D25" s="81">
        <v>4358</v>
      </c>
      <c r="E25" s="81">
        <v>5134</v>
      </c>
      <c r="F25" s="81">
        <v>7463</v>
      </c>
      <c r="G25" s="81">
        <v>5535</v>
      </c>
      <c r="H25" s="81">
        <v>6735</v>
      </c>
      <c r="I25" s="81">
        <v>4766</v>
      </c>
      <c r="J25" s="81">
        <v>8483</v>
      </c>
      <c r="K25" s="81">
        <v>5587</v>
      </c>
      <c r="L25" s="81">
        <v>7485</v>
      </c>
      <c r="M25" s="81">
        <v>3759</v>
      </c>
      <c r="N25" s="72">
        <v>4578</v>
      </c>
    </row>
    <row r="26" spans="1:14" s="58" customFormat="1" ht="13.5" thickBot="1">
      <c r="A26" s="67" t="s">
        <v>92</v>
      </c>
      <c r="B26" s="68">
        <f>(C26-D26)/D26</f>
        <v>0.6741624598439652</v>
      </c>
      <c r="C26" s="107">
        <v>7296</v>
      </c>
      <c r="D26" s="86">
        <v>4358</v>
      </c>
      <c r="E26" s="86">
        <f aca="true" t="shared" si="2" ref="E26:N26">SUM(E25)</f>
        <v>5134</v>
      </c>
      <c r="F26" s="86">
        <f t="shared" si="2"/>
        <v>7463</v>
      </c>
      <c r="G26" s="86">
        <f t="shared" si="2"/>
        <v>5535</v>
      </c>
      <c r="H26" s="86">
        <f t="shared" si="2"/>
        <v>6735</v>
      </c>
      <c r="I26" s="86">
        <f t="shared" si="2"/>
        <v>4766</v>
      </c>
      <c r="J26" s="86">
        <f t="shared" si="2"/>
        <v>8483</v>
      </c>
      <c r="K26" s="86">
        <f t="shared" si="2"/>
        <v>5587</v>
      </c>
      <c r="L26" s="86">
        <f t="shared" si="2"/>
        <v>7485</v>
      </c>
      <c r="M26" s="86">
        <f t="shared" si="2"/>
        <v>3759</v>
      </c>
      <c r="N26" s="93">
        <f t="shared" si="2"/>
        <v>4578</v>
      </c>
    </row>
    <row r="27" s="58" customFormat="1" ht="12.75">
      <c r="D27" s="166"/>
    </row>
    <row r="28" spans="1:4" s="58" customFormat="1" ht="12.75">
      <c r="A28" s="61"/>
      <c r="D28" s="166"/>
    </row>
    <row r="29" s="58" customFormat="1" ht="12.75">
      <c r="D29" s="166"/>
    </row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9.28125" style="0" customWidth="1"/>
    <col min="2" max="3" width="10.7109375" style="0" customWidth="1"/>
    <col min="4" max="4" width="11.8515625" style="9" bestFit="1" customWidth="1"/>
    <col min="5" max="5" width="10.140625" style="0" bestFit="1" customWidth="1"/>
    <col min="6" max="13" width="10.28125" style="16" customWidth="1"/>
    <col min="14" max="14" width="10.28125" style="0" customWidth="1"/>
  </cols>
  <sheetData>
    <row r="1" spans="1:14" s="16" customFormat="1" ht="13.5" thickBot="1">
      <c r="A1" s="30" t="s">
        <v>23</v>
      </c>
      <c r="B1" s="31" t="s">
        <v>188</v>
      </c>
      <c r="C1" s="151">
        <v>43405</v>
      </c>
      <c r="D1" s="99">
        <v>43040</v>
      </c>
      <c r="E1" s="32">
        <v>42675</v>
      </c>
      <c r="F1" s="32">
        <v>42309</v>
      </c>
      <c r="G1" s="32">
        <v>41944</v>
      </c>
      <c r="H1" s="32">
        <v>41579</v>
      </c>
      <c r="I1" s="32">
        <v>41214</v>
      </c>
      <c r="J1" s="32">
        <v>40848</v>
      </c>
      <c r="K1" s="32">
        <v>40483</v>
      </c>
      <c r="L1" s="32">
        <v>40118</v>
      </c>
      <c r="M1" s="32">
        <v>39753</v>
      </c>
      <c r="N1" s="33">
        <v>39387</v>
      </c>
    </row>
    <row r="2" spans="1:14" ht="12.75">
      <c r="A2" s="26" t="s">
        <v>19</v>
      </c>
      <c r="B2" s="34">
        <f>(C2-D2)/D2</f>
        <v>-1</v>
      </c>
      <c r="C2" s="169"/>
      <c r="D2" s="181">
        <v>26000</v>
      </c>
      <c r="E2" s="13">
        <v>20000</v>
      </c>
      <c r="F2" s="13">
        <v>20000</v>
      </c>
      <c r="G2" s="13"/>
      <c r="H2" s="13"/>
      <c r="I2" s="13"/>
      <c r="J2" s="13"/>
      <c r="K2" s="13"/>
      <c r="L2" s="13"/>
      <c r="M2" s="13"/>
      <c r="N2" s="45"/>
    </row>
    <row r="3" spans="1:14" ht="12.75">
      <c r="A3" s="26" t="s">
        <v>10</v>
      </c>
      <c r="B3" s="34">
        <f aca="true" t="shared" si="0" ref="B3:B19">(C3-D3)/D3</f>
        <v>-1</v>
      </c>
      <c r="C3" s="169"/>
      <c r="D3" s="181">
        <f>'[1]Braeburn'!$O$42</f>
        <v>47592.8</v>
      </c>
      <c r="E3" s="13">
        <v>67000</v>
      </c>
      <c r="F3" s="13">
        <v>67981</v>
      </c>
      <c r="G3" s="13"/>
      <c r="H3" s="13"/>
      <c r="I3" s="13"/>
      <c r="J3" s="13"/>
      <c r="K3" s="13"/>
      <c r="L3" s="13"/>
      <c r="M3" s="13"/>
      <c r="N3" s="45"/>
    </row>
    <row r="4" spans="1:14" ht="12.75">
      <c r="A4" s="26" t="s">
        <v>60</v>
      </c>
      <c r="B4" s="34">
        <f t="shared" si="0"/>
        <v>-1</v>
      </c>
      <c r="C4" s="169"/>
      <c r="D4" s="181">
        <v>80948</v>
      </c>
      <c r="E4" s="13">
        <v>80000</v>
      </c>
      <c r="F4" s="13">
        <v>41306</v>
      </c>
      <c r="G4" s="13"/>
      <c r="H4" s="13"/>
      <c r="I4" s="13"/>
      <c r="J4" s="13"/>
      <c r="K4" s="13"/>
      <c r="L4" s="13"/>
      <c r="M4" s="13"/>
      <c r="N4" s="45"/>
    </row>
    <row r="5" spans="1:14" ht="12.75">
      <c r="A5" s="26" t="s">
        <v>1</v>
      </c>
      <c r="B5" s="34">
        <f t="shared" si="0"/>
        <v>-1</v>
      </c>
      <c r="C5" s="169"/>
      <c r="D5" s="181">
        <f>'[1]Elstar'!$O$42</f>
        <v>51</v>
      </c>
      <c r="E5" s="13">
        <v>58</v>
      </c>
      <c r="F5" s="13">
        <v>71</v>
      </c>
      <c r="G5" s="13"/>
      <c r="H5" s="13"/>
      <c r="I5" s="13"/>
      <c r="J5" s="13"/>
      <c r="K5" s="13"/>
      <c r="L5" s="13"/>
      <c r="M5" s="13"/>
      <c r="N5" s="45"/>
    </row>
    <row r="6" spans="1:14" ht="12.75">
      <c r="A6" s="26" t="s">
        <v>11</v>
      </c>
      <c r="B6" s="34">
        <f t="shared" si="0"/>
        <v>-1</v>
      </c>
      <c r="C6" s="169"/>
      <c r="D6" s="181">
        <v>110998</v>
      </c>
      <c r="E6" s="13">
        <v>131685.8</v>
      </c>
      <c r="F6" s="13">
        <v>128420</v>
      </c>
      <c r="G6" s="13"/>
      <c r="H6" s="13"/>
      <c r="I6" s="13"/>
      <c r="J6" s="13"/>
      <c r="K6" s="13"/>
      <c r="L6" s="13"/>
      <c r="M6" s="13"/>
      <c r="N6" s="45"/>
    </row>
    <row r="7" spans="1:14" ht="12.75">
      <c r="A7" s="26" t="s">
        <v>8</v>
      </c>
      <c r="B7" s="34">
        <f t="shared" si="0"/>
        <v>-1</v>
      </c>
      <c r="C7" s="169"/>
      <c r="D7" s="181">
        <v>144459</v>
      </c>
      <c r="E7" s="13">
        <v>158449.79</v>
      </c>
      <c r="F7" s="13">
        <v>171335</v>
      </c>
      <c r="G7" s="13"/>
      <c r="H7" s="13"/>
      <c r="I7" s="13"/>
      <c r="J7" s="13"/>
      <c r="K7" s="13"/>
      <c r="L7" s="13"/>
      <c r="M7" s="13"/>
      <c r="N7" s="45"/>
    </row>
    <row r="8" spans="1:14" ht="12.75">
      <c r="A8" s="26" t="s">
        <v>13</v>
      </c>
      <c r="B8" s="34">
        <f t="shared" si="0"/>
        <v>-1</v>
      </c>
      <c r="C8" s="169"/>
      <c r="D8" s="182">
        <v>19</v>
      </c>
      <c r="E8" s="13">
        <v>32</v>
      </c>
      <c r="F8" s="13">
        <v>45</v>
      </c>
      <c r="G8" s="13"/>
      <c r="H8" s="13"/>
      <c r="I8" s="13"/>
      <c r="J8" s="13"/>
      <c r="K8" s="13"/>
      <c r="L8" s="13"/>
      <c r="M8" s="13"/>
      <c r="N8" s="45"/>
    </row>
    <row r="9" spans="1:14" ht="12.75">
      <c r="A9" s="28" t="s">
        <v>2</v>
      </c>
      <c r="B9" s="34">
        <f t="shared" si="0"/>
        <v>-1</v>
      </c>
      <c r="C9" s="169"/>
      <c r="D9" s="181">
        <v>418203</v>
      </c>
      <c r="E9" s="13">
        <v>769017.922</v>
      </c>
      <c r="F9" s="97">
        <v>789824</v>
      </c>
      <c r="G9" s="97"/>
      <c r="H9" s="97"/>
      <c r="I9" s="97"/>
      <c r="J9" s="97"/>
      <c r="K9" s="97"/>
      <c r="L9" s="97"/>
      <c r="M9" s="97"/>
      <c r="N9" s="45"/>
    </row>
    <row r="10" spans="1:14" ht="12.75">
      <c r="A10" s="28" t="s">
        <v>16</v>
      </c>
      <c r="B10" s="34">
        <f t="shared" si="0"/>
        <v>-1</v>
      </c>
      <c r="C10" s="169"/>
      <c r="D10" s="182">
        <v>113620</v>
      </c>
      <c r="E10" s="13">
        <v>113624.009</v>
      </c>
      <c r="F10" s="97">
        <v>118773</v>
      </c>
      <c r="G10" s="97"/>
      <c r="H10" s="97"/>
      <c r="I10" s="97"/>
      <c r="J10" s="97"/>
      <c r="K10" s="97"/>
      <c r="L10" s="97"/>
      <c r="M10" s="97"/>
      <c r="N10" s="45"/>
    </row>
    <row r="11" spans="1:14" ht="12.75">
      <c r="A11" s="28" t="s">
        <v>9</v>
      </c>
      <c r="B11" s="34">
        <f t="shared" si="0"/>
        <v>-1</v>
      </c>
      <c r="C11" s="169"/>
      <c r="D11" s="182">
        <f>'[1]Idared'!$O$42</f>
        <v>838.6</v>
      </c>
      <c r="E11" s="13">
        <v>718</v>
      </c>
      <c r="F11" s="97">
        <v>1425</v>
      </c>
      <c r="G11" s="97"/>
      <c r="H11" s="97"/>
      <c r="I11" s="97"/>
      <c r="J11" s="97"/>
      <c r="K11" s="97"/>
      <c r="L11" s="97"/>
      <c r="M11" s="97"/>
      <c r="N11" s="45"/>
    </row>
    <row r="12" spans="1:14" ht="12.75">
      <c r="A12" s="28" t="s">
        <v>26</v>
      </c>
      <c r="B12" s="34">
        <f t="shared" si="0"/>
        <v>-1</v>
      </c>
      <c r="C12" s="169"/>
      <c r="D12" s="181">
        <f>'[1]Jonagold'!$O$42</f>
        <v>3440.52</v>
      </c>
      <c r="E12" s="13">
        <v>4834</v>
      </c>
      <c r="F12" s="97">
        <v>8542</v>
      </c>
      <c r="G12" s="97"/>
      <c r="H12" s="97"/>
      <c r="I12" s="97"/>
      <c r="J12" s="97"/>
      <c r="K12" s="97"/>
      <c r="L12" s="97"/>
      <c r="M12" s="97"/>
      <c r="N12" s="45"/>
    </row>
    <row r="13" spans="1:14" ht="12.75">
      <c r="A13" s="28" t="s">
        <v>49</v>
      </c>
      <c r="B13" s="34" t="e">
        <f t="shared" si="0"/>
        <v>#DIV/0!</v>
      </c>
      <c r="C13" s="169"/>
      <c r="D13" s="181">
        <f>'[1]Jonathan'!$O$42</f>
        <v>0</v>
      </c>
      <c r="E13" s="13">
        <v>0</v>
      </c>
      <c r="F13" s="97">
        <v>0</v>
      </c>
      <c r="G13" s="97"/>
      <c r="H13" s="97"/>
      <c r="I13" s="97"/>
      <c r="J13" s="97"/>
      <c r="K13" s="97"/>
      <c r="L13" s="97"/>
      <c r="M13" s="97"/>
      <c r="N13" s="45"/>
    </row>
    <row r="14" spans="1:14" ht="12.75">
      <c r="A14" s="28" t="s">
        <v>106</v>
      </c>
      <c r="B14" s="34">
        <f t="shared" si="0"/>
        <v>-1</v>
      </c>
      <c r="C14" s="169"/>
      <c r="D14" s="181">
        <f>'[1]Morgenduft'!$O$42</f>
        <v>26331.95</v>
      </c>
      <c r="E14" s="13">
        <v>27016</v>
      </c>
      <c r="F14" s="97">
        <v>33821</v>
      </c>
      <c r="G14" s="97"/>
      <c r="H14" s="97"/>
      <c r="I14" s="97"/>
      <c r="J14" s="97"/>
      <c r="K14" s="97"/>
      <c r="L14" s="97"/>
      <c r="M14" s="97"/>
      <c r="N14" s="45"/>
    </row>
    <row r="15" spans="1:14" ht="12.75">
      <c r="A15" s="28" t="s">
        <v>18</v>
      </c>
      <c r="B15" s="34">
        <f t="shared" si="0"/>
        <v>-1</v>
      </c>
      <c r="C15" s="169"/>
      <c r="D15" s="181">
        <v>139251</v>
      </c>
      <c r="E15" s="13">
        <v>187614.616</v>
      </c>
      <c r="F15" s="97">
        <v>198479</v>
      </c>
      <c r="G15" s="97"/>
      <c r="H15" s="97"/>
      <c r="I15" s="97"/>
      <c r="J15" s="97"/>
      <c r="K15" s="97"/>
      <c r="L15" s="97"/>
      <c r="M15" s="97"/>
      <c r="N15" s="45"/>
    </row>
    <row r="16" spans="1:14" ht="12.75">
      <c r="A16" s="28" t="s">
        <v>107</v>
      </c>
      <c r="B16" s="34">
        <f t="shared" si="0"/>
        <v>-1</v>
      </c>
      <c r="C16" s="169"/>
      <c r="D16" s="181">
        <f>'[1]Annurca - Renetta'!$O$42-26000</f>
        <v>4755.5999999999985</v>
      </c>
      <c r="E16" s="13">
        <v>22441</v>
      </c>
      <c r="F16" s="97">
        <v>21684</v>
      </c>
      <c r="G16" s="97"/>
      <c r="H16" s="97"/>
      <c r="I16" s="97"/>
      <c r="J16" s="97"/>
      <c r="K16" s="97"/>
      <c r="L16" s="97"/>
      <c r="M16" s="97"/>
      <c r="N16" s="45"/>
    </row>
    <row r="17" spans="1:14" ht="12.75">
      <c r="A17" s="28" t="s">
        <v>20</v>
      </c>
      <c r="B17" s="34">
        <f t="shared" si="0"/>
        <v>-1</v>
      </c>
      <c r="C17" s="169"/>
      <c r="D17" s="181">
        <v>5745</v>
      </c>
      <c r="E17" s="13">
        <v>9500</v>
      </c>
      <c r="F17" s="97">
        <v>8619</v>
      </c>
      <c r="G17" s="97"/>
      <c r="H17" s="97"/>
      <c r="I17" s="97"/>
      <c r="J17" s="97"/>
      <c r="K17" s="97"/>
      <c r="L17" s="97"/>
      <c r="M17" s="97"/>
      <c r="N17" s="45"/>
    </row>
    <row r="18" spans="1:14" ht="13.5" thickBot="1">
      <c r="A18" s="29" t="s">
        <v>58</v>
      </c>
      <c r="B18" s="35">
        <f t="shared" si="0"/>
        <v>-1</v>
      </c>
      <c r="C18" s="170"/>
      <c r="D18" s="183">
        <f>'[1]Altre'!$O$42</f>
        <v>64457.350000000006</v>
      </c>
      <c r="E18" s="13">
        <v>74000</v>
      </c>
      <c r="F18" s="98">
        <v>63443</v>
      </c>
      <c r="G18" s="98"/>
      <c r="H18" s="98"/>
      <c r="I18" s="98"/>
      <c r="J18" s="98"/>
      <c r="K18" s="98"/>
      <c r="L18" s="98"/>
      <c r="M18" s="98"/>
      <c r="N18" s="46"/>
    </row>
    <row r="19" spans="1:14" ht="13.5" thickBot="1">
      <c r="A19" s="44" t="s">
        <v>22</v>
      </c>
      <c r="B19" s="40">
        <f t="shared" si="0"/>
        <v>-1</v>
      </c>
      <c r="C19" s="153"/>
      <c r="D19" s="184">
        <f>SUM(D2:D18)</f>
        <v>1186710.8200000003</v>
      </c>
      <c r="E19" s="84">
        <f>SUM(E2:E18)</f>
        <v>1665991.137</v>
      </c>
      <c r="F19" s="41">
        <f>SUM(F2:F18)</f>
        <v>1673768</v>
      </c>
      <c r="G19" s="41"/>
      <c r="H19" s="41"/>
      <c r="I19" s="41"/>
      <c r="J19" s="41"/>
      <c r="K19" s="41"/>
      <c r="L19" s="41"/>
      <c r="M19" s="41"/>
      <c r="N19" s="47"/>
    </row>
    <row r="20" spans="2:16" s="9" customFormat="1" ht="12.75">
      <c r="B20" s="43"/>
      <c r="C20" s="43"/>
      <c r="D20" s="43"/>
      <c r="E20" s="43"/>
      <c r="F20" s="12"/>
      <c r="G20" s="12"/>
      <c r="H20" s="12"/>
      <c r="I20" s="12"/>
      <c r="J20" s="12"/>
      <c r="K20" s="12"/>
      <c r="L20" s="12"/>
      <c r="M20" s="12"/>
      <c r="N20" s="161"/>
      <c r="P20"/>
    </row>
    <row r="21" spans="2:14" s="9" customFormat="1" ht="13.5" thickBot="1">
      <c r="B21" s="43"/>
      <c r="C21" s="43"/>
      <c r="D21" s="43"/>
      <c r="E21" s="43"/>
      <c r="F21" s="12"/>
      <c r="G21" s="12"/>
      <c r="H21" s="12"/>
      <c r="I21" s="12"/>
      <c r="J21" s="12"/>
      <c r="K21" s="12"/>
      <c r="L21" s="12"/>
      <c r="M21" s="12"/>
      <c r="N21" s="162"/>
    </row>
    <row r="22" spans="1:14" s="16" customFormat="1" ht="13.5" thickBot="1">
      <c r="A22" s="30" t="s">
        <v>185</v>
      </c>
      <c r="B22" s="31" t="s">
        <v>188</v>
      </c>
      <c r="C22" s="151">
        <v>43405</v>
      </c>
      <c r="D22" s="99">
        <v>43040</v>
      </c>
      <c r="E22" s="32">
        <v>42675</v>
      </c>
      <c r="F22" s="32">
        <v>42309</v>
      </c>
      <c r="G22" s="32">
        <f>G1</f>
        <v>41944</v>
      </c>
      <c r="H22" s="32">
        <v>41579</v>
      </c>
      <c r="I22" s="32">
        <v>41214</v>
      </c>
      <c r="J22" s="32">
        <v>40848</v>
      </c>
      <c r="K22" s="32">
        <v>40483</v>
      </c>
      <c r="L22" s="32">
        <v>40118</v>
      </c>
      <c r="M22" s="32">
        <v>39753</v>
      </c>
      <c r="N22" s="33">
        <v>39387</v>
      </c>
    </row>
    <row r="23" spans="1:14" ht="12.75">
      <c r="A23" s="26" t="s">
        <v>104</v>
      </c>
      <c r="B23" s="34">
        <f aca="true" t="shared" si="1" ref="B23:B28">(C23-D23)/D23</f>
        <v>-1</v>
      </c>
      <c r="C23" s="169"/>
      <c r="D23" s="13">
        <v>226206</v>
      </c>
      <c r="E23" s="163">
        <v>199098.87864195585</v>
      </c>
      <c r="F23" s="13">
        <v>232830.86419045625</v>
      </c>
      <c r="G23" s="13">
        <v>241352.505829137</v>
      </c>
      <c r="H23" s="13">
        <v>260705.750644595</v>
      </c>
      <c r="I23" s="13"/>
      <c r="J23" s="13"/>
      <c r="K23" s="13"/>
      <c r="L23" s="13"/>
      <c r="M23" s="13"/>
      <c r="N23" s="45"/>
    </row>
    <row r="24" spans="1:14" ht="12.75">
      <c r="A24" s="26" t="s">
        <v>6</v>
      </c>
      <c r="B24" s="34">
        <f t="shared" si="1"/>
        <v>-1</v>
      </c>
      <c r="C24" s="169"/>
      <c r="D24" s="13">
        <v>37475</v>
      </c>
      <c r="E24" s="163">
        <v>40189.23013095093</v>
      </c>
      <c r="F24" s="13">
        <v>45548.99114993799</v>
      </c>
      <c r="G24" s="13">
        <v>50790.9758794355</v>
      </c>
      <c r="H24" s="13">
        <v>60945.7562950097</v>
      </c>
      <c r="I24" s="13"/>
      <c r="J24" s="13"/>
      <c r="K24" s="13"/>
      <c r="L24" s="13"/>
      <c r="M24" s="13"/>
      <c r="N24" s="45"/>
    </row>
    <row r="25" spans="1:17" ht="12.75">
      <c r="A25" s="26" t="s">
        <v>105</v>
      </c>
      <c r="B25" s="34">
        <f t="shared" si="1"/>
        <v>-1</v>
      </c>
      <c r="C25" s="169"/>
      <c r="D25" s="13">
        <v>10614</v>
      </c>
      <c r="E25" s="163">
        <v>9132.583829819285</v>
      </c>
      <c r="F25" s="13">
        <v>13033.549715079193</v>
      </c>
      <c r="G25" s="13">
        <v>15394.5871917055</v>
      </c>
      <c r="H25" s="13">
        <v>21412.4967202515</v>
      </c>
      <c r="I25" s="13"/>
      <c r="J25" s="13"/>
      <c r="K25" s="13"/>
      <c r="L25" s="13"/>
      <c r="M25" s="13"/>
      <c r="N25" s="45"/>
      <c r="Q25" s="94"/>
    </row>
    <row r="26" spans="1:14" ht="12.75">
      <c r="A26" s="26" t="s">
        <v>29</v>
      </c>
      <c r="B26" s="34">
        <f t="shared" si="1"/>
        <v>-1</v>
      </c>
      <c r="C26" s="169"/>
      <c r="D26" s="13">
        <v>29525</v>
      </c>
      <c r="E26" s="163">
        <v>24956.912724977</v>
      </c>
      <c r="F26" s="13">
        <v>33532.48925827977</v>
      </c>
      <c r="G26" s="13">
        <v>27243.8096861172</v>
      </c>
      <c r="H26" s="13">
        <v>43502.1767239505</v>
      </c>
      <c r="I26" s="13"/>
      <c r="J26" s="13"/>
      <c r="K26" s="13"/>
      <c r="L26" s="13"/>
      <c r="M26" s="13"/>
      <c r="N26" s="45"/>
    </row>
    <row r="27" spans="1:14" ht="13.5" thickBot="1">
      <c r="A27" s="37" t="s">
        <v>58</v>
      </c>
      <c r="B27" s="34">
        <f t="shared" si="1"/>
        <v>-1</v>
      </c>
      <c r="C27" s="169"/>
      <c r="D27" s="13">
        <v>63855</v>
      </c>
      <c r="E27" s="164">
        <v>57731.33870826603</v>
      </c>
      <c r="F27" s="15">
        <v>79287.26950891614</v>
      </c>
      <c r="G27" s="15">
        <v>68064.7932030496</v>
      </c>
      <c r="H27" s="15">
        <v>104872.187621145</v>
      </c>
      <c r="I27" s="15"/>
      <c r="J27" s="15"/>
      <c r="K27" s="15"/>
      <c r="L27" s="15"/>
      <c r="M27" s="15"/>
      <c r="N27" s="46"/>
    </row>
    <row r="28" spans="1:14" ht="13.5" thickBot="1">
      <c r="A28" s="39" t="s">
        <v>22</v>
      </c>
      <c r="B28" s="146">
        <f t="shared" si="1"/>
        <v>-1</v>
      </c>
      <c r="C28" s="171"/>
      <c r="D28" s="84">
        <f>SUM(D23:D27)</f>
        <v>367675</v>
      </c>
      <c r="E28" s="84">
        <f>SUM(E23:E27)</f>
        <v>331108.9440359691</v>
      </c>
      <c r="F28" s="41">
        <f>SUM(F23:F27)</f>
        <v>404233.16382266936</v>
      </c>
      <c r="G28" s="41">
        <f>SUM(G23:G27)</f>
        <v>402846.67178944475</v>
      </c>
      <c r="H28" s="41">
        <f>SUM(H23:H27)</f>
        <v>491438.3680049517</v>
      </c>
      <c r="I28" s="41"/>
      <c r="J28" s="41"/>
      <c r="K28" s="41"/>
      <c r="L28" s="41"/>
      <c r="M28" s="41"/>
      <c r="N28" s="47"/>
    </row>
    <row r="30" ht="12.75">
      <c r="A30" s="87" t="s">
        <v>186</v>
      </c>
    </row>
    <row r="35" spans="14:15" ht="17.25">
      <c r="N35" s="5"/>
      <c r="O35" s="1"/>
    </row>
    <row r="36" spans="14:15" ht="17.25">
      <c r="N36" s="5"/>
      <c r="O36" s="1"/>
    </row>
    <row r="37" spans="14:15" ht="17.25">
      <c r="N37" s="5"/>
      <c r="O37" s="1"/>
    </row>
    <row r="38" spans="14:15" ht="17.25">
      <c r="N38" s="5"/>
      <c r="O38" s="1"/>
    </row>
    <row r="39" spans="14:15" ht="17.25">
      <c r="N39" s="5"/>
      <c r="O39" s="1"/>
    </row>
    <row r="40" spans="14:15" ht="17.25">
      <c r="N40" s="5"/>
      <c r="O40" s="1"/>
    </row>
    <row r="41" spans="14:15" ht="17.25">
      <c r="N41" s="5"/>
      <c r="O41" s="1"/>
    </row>
    <row r="42" spans="14:15" ht="17.25">
      <c r="N42" s="5"/>
      <c r="O42" s="1"/>
    </row>
    <row r="43" spans="14:15" ht="17.25">
      <c r="N43" s="5"/>
      <c r="O43" s="1"/>
    </row>
    <row r="44" spans="14:15" ht="17.25">
      <c r="N44" s="5"/>
      <c r="O44" s="1"/>
    </row>
    <row r="45" spans="14:15" ht="17.25">
      <c r="N45" s="6"/>
      <c r="O45" s="1"/>
    </row>
    <row r="46" spans="14:15" ht="18">
      <c r="N46" s="7"/>
      <c r="O46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9.28125" style="0" customWidth="1"/>
    <col min="2" max="3" width="10.7109375" style="0" customWidth="1"/>
    <col min="4" max="4" width="10.7109375" style="9" customWidth="1"/>
    <col min="5" max="5" width="10.28125" style="0" customWidth="1"/>
    <col min="6" max="12" width="10.28125" style="12" customWidth="1"/>
    <col min="13" max="14" width="10.28125" style="0" customWidth="1"/>
  </cols>
  <sheetData>
    <row r="1" spans="1:14" ht="13.5" thickBot="1">
      <c r="A1" s="30" t="s">
        <v>23</v>
      </c>
      <c r="B1" s="31" t="s">
        <v>188</v>
      </c>
      <c r="C1" s="151">
        <v>43405</v>
      </c>
      <c r="D1" s="99">
        <v>43040</v>
      </c>
      <c r="E1" s="32">
        <v>42675</v>
      </c>
      <c r="F1" s="32">
        <v>42309</v>
      </c>
      <c r="G1" s="32">
        <v>41944</v>
      </c>
      <c r="H1" s="32">
        <v>41579</v>
      </c>
      <c r="I1" s="32">
        <v>41214</v>
      </c>
      <c r="J1" s="32">
        <v>40848</v>
      </c>
      <c r="K1" s="32">
        <v>40483</v>
      </c>
      <c r="L1" s="32">
        <v>40118</v>
      </c>
      <c r="M1" s="32">
        <v>39753</v>
      </c>
      <c r="N1" s="33">
        <v>39387</v>
      </c>
    </row>
    <row r="2" spans="1:14" ht="12.75">
      <c r="A2" s="128" t="s">
        <v>3</v>
      </c>
      <c r="B2" s="34"/>
      <c r="C2" s="186"/>
      <c r="D2" s="13"/>
      <c r="E2" s="13"/>
      <c r="F2" s="13"/>
      <c r="G2" s="13"/>
      <c r="H2" s="13"/>
      <c r="I2" s="13"/>
      <c r="J2" s="13"/>
      <c r="K2" s="13"/>
      <c r="L2" s="13"/>
      <c r="M2" s="13"/>
      <c r="N2" s="36"/>
    </row>
    <row r="3" spans="1:14" ht="12.75">
      <c r="A3" s="128" t="s">
        <v>32</v>
      </c>
      <c r="B3" s="34"/>
      <c r="C3" s="186"/>
      <c r="D3" s="13"/>
      <c r="E3" s="13"/>
      <c r="F3" s="13"/>
      <c r="G3" s="13">
        <v>5000</v>
      </c>
      <c r="H3" s="13">
        <v>5000</v>
      </c>
      <c r="I3" s="13">
        <v>10000</v>
      </c>
      <c r="J3" s="13">
        <v>10435</v>
      </c>
      <c r="K3" s="13"/>
      <c r="L3" s="13"/>
      <c r="M3" s="13"/>
      <c r="N3" s="36"/>
    </row>
    <row r="4" spans="1:14" ht="12.75">
      <c r="A4" s="26" t="s">
        <v>1</v>
      </c>
      <c r="B4" s="34"/>
      <c r="C4" s="186"/>
      <c r="D4" s="13"/>
      <c r="E4" s="13"/>
      <c r="F4" s="13"/>
      <c r="G4" s="13">
        <v>5000</v>
      </c>
      <c r="H4" s="13">
        <v>5000</v>
      </c>
      <c r="I4" s="13">
        <v>7000</v>
      </c>
      <c r="J4" s="13">
        <v>12000</v>
      </c>
      <c r="K4" s="13"/>
      <c r="L4" s="13"/>
      <c r="M4" s="13"/>
      <c r="N4" s="36"/>
    </row>
    <row r="5" spans="1:14" ht="12.75">
      <c r="A5" s="26" t="s">
        <v>8</v>
      </c>
      <c r="B5" s="34">
        <f>(C5-D5)/D5</f>
        <v>0.3333333333333333</v>
      </c>
      <c r="C5" s="186">
        <v>200000</v>
      </c>
      <c r="D5" s="13">
        <v>150000</v>
      </c>
      <c r="E5" s="13">
        <v>160000</v>
      </c>
      <c r="F5" s="13"/>
      <c r="G5" s="13">
        <v>160000</v>
      </c>
      <c r="H5" s="13">
        <v>150000</v>
      </c>
      <c r="I5" s="13">
        <v>120000</v>
      </c>
      <c r="J5" s="13">
        <v>118500</v>
      </c>
      <c r="K5" s="13"/>
      <c r="L5" s="13"/>
      <c r="M5" s="13"/>
      <c r="N5" s="36"/>
    </row>
    <row r="6" spans="1:14" ht="12.75">
      <c r="A6" s="26" t="s">
        <v>13</v>
      </c>
      <c r="B6" s="34">
        <f aca="true" t="shared" si="0" ref="B6:B17">(C6-D6)/D6</f>
        <v>0</v>
      </c>
      <c r="C6" s="186">
        <v>100000</v>
      </c>
      <c r="D6" s="13">
        <v>100000</v>
      </c>
      <c r="E6" s="13">
        <v>105000</v>
      </c>
      <c r="F6" s="13"/>
      <c r="G6" s="13">
        <v>110000</v>
      </c>
      <c r="H6" s="13">
        <v>110000</v>
      </c>
      <c r="I6" s="13">
        <v>110000</v>
      </c>
      <c r="J6" s="13">
        <v>96500</v>
      </c>
      <c r="K6" s="13"/>
      <c r="L6" s="13"/>
      <c r="M6" s="13"/>
      <c r="N6" s="36"/>
    </row>
    <row r="7" spans="1:14" ht="12.75">
      <c r="A7" s="28" t="s">
        <v>2</v>
      </c>
      <c r="B7" s="34">
        <f t="shared" si="0"/>
        <v>0.1111111111111111</v>
      </c>
      <c r="C7" s="186">
        <v>200000</v>
      </c>
      <c r="D7" s="13">
        <v>180000</v>
      </c>
      <c r="E7" s="97">
        <v>195000</v>
      </c>
      <c r="F7" s="13"/>
      <c r="G7" s="13">
        <v>190000</v>
      </c>
      <c r="H7" s="13">
        <v>150000</v>
      </c>
      <c r="I7" s="13">
        <v>160000</v>
      </c>
      <c r="J7" s="13">
        <v>156225</v>
      </c>
      <c r="K7" s="13"/>
      <c r="L7" s="13"/>
      <c r="M7" s="13"/>
      <c r="N7" s="36"/>
    </row>
    <row r="8" spans="1:14" ht="12.75">
      <c r="A8" s="28" t="s">
        <v>9</v>
      </c>
      <c r="B8" s="34">
        <f t="shared" si="0"/>
        <v>1</v>
      </c>
      <c r="C8" s="186">
        <v>400000</v>
      </c>
      <c r="D8" s="13">
        <v>200000</v>
      </c>
      <c r="E8" s="97">
        <v>360000</v>
      </c>
      <c r="F8" s="13"/>
      <c r="G8" s="13">
        <v>370000</v>
      </c>
      <c r="H8" s="13">
        <v>330000</v>
      </c>
      <c r="I8" s="13">
        <v>300000</v>
      </c>
      <c r="J8" s="13">
        <v>260000</v>
      </c>
      <c r="K8" s="13"/>
      <c r="L8" s="13"/>
      <c r="M8" s="13"/>
      <c r="N8" s="36"/>
    </row>
    <row r="9" spans="1:14" ht="12.75">
      <c r="A9" s="28" t="s">
        <v>26</v>
      </c>
      <c r="B9" s="34">
        <f t="shared" si="0"/>
        <v>0.8571428571428571</v>
      </c>
      <c r="C9" s="186">
        <v>130000</v>
      </c>
      <c r="D9" s="13">
        <v>70000</v>
      </c>
      <c r="E9" s="97">
        <v>130000</v>
      </c>
      <c r="F9" s="13"/>
      <c r="G9" s="13">
        <v>130000</v>
      </c>
      <c r="H9" s="13">
        <v>120000</v>
      </c>
      <c r="I9" s="13">
        <v>110000</v>
      </c>
      <c r="J9" s="13">
        <v>106000</v>
      </c>
      <c r="K9" s="13"/>
      <c r="L9" s="13"/>
      <c r="M9" s="13"/>
      <c r="N9" s="36"/>
    </row>
    <row r="10" spans="1:14" ht="12.75">
      <c r="A10" s="28" t="s">
        <v>165</v>
      </c>
      <c r="B10" s="34">
        <f t="shared" si="0"/>
        <v>0.6363636363636364</v>
      </c>
      <c r="C10" s="186">
        <v>180000</v>
      </c>
      <c r="D10" s="13">
        <v>110000</v>
      </c>
      <c r="E10" s="97">
        <v>160000</v>
      </c>
      <c r="F10" s="13"/>
      <c r="G10" s="13">
        <v>160000</v>
      </c>
      <c r="H10" s="13">
        <v>150000</v>
      </c>
      <c r="I10" s="13">
        <v>150000</v>
      </c>
      <c r="J10" s="13">
        <v>140000</v>
      </c>
      <c r="K10" s="13"/>
      <c r="L10" s="13"/>
      <c r="M10" s="13"/>
      <c r="N10" s="36"/>
    </row>
    <row r="11" spans="1:14" ht="12.75">
      <c r="A11" s="139" t="s">
        <v>33</v>
      </c>
      <c r="B11" s="34"/>
      <c r="C11" s="186"/>
      <c r="D11" s="13"/>
      <c r="E11" s="97"/>
      <c r="F11" s="13"/>
      <c r="G11" s="13">
        <v>5000</v>
      </c>
      <c r="H11" s="13">
        <v>5000</v>
      </c>
      <c r="I11" s="13">
        <v>10000</v>
      </c>
      <c r="J11" s="13">
        <v>10597</v>
      </c>
      <c r="K11" s="13"/>
      <c r="L11" s="13"/>
      <c r="M11" s="13"/>
      <c r="N11" s="36"/>
    </row>
    <row r="12" spans="1:14" ht="12.75">
      <c r="A12" s="139" t="s">
        <v>12</v>
      </c>
      <c r="B12" s="34">
        <f t="shared" si="0"/>
        <v>1</v>
      </c>
      <c r="C12" s="186">
        <v>60000</v>
      </c>
      <c r="D12" s="13">
        <v>30000</v>
      </c>
      <c r="E12" s="97">
        <v>40000</v>
      </c>
      <c r="F12" s="13"/>
      <c r="G12" s="13">
        <v>30000</v>
      </c>
      <c r="H12" s="13">
        <v>20000</v>
      </c>
      <c r="I12" s="13">
        <v>30000</v>
      </c>
      <c r="J12" s="13">
        <v>32000</v>
      </c>
      <c r="K12" s="13"/>
      <c r="L12" s="13"/>
      <c r="M12" s="13"/>
      <c r="N12" s="36"/>
    </row>
    <row r="13" spans="1:14" ht="12.75">
      <c r="A13" s="139" t="s">
        <v>18</v>
      </c>
      <c r="B13" s="34">
        <f t="shared" si="0"/>
        <v>3</v>
      </c>
      <c r="C13" s="186">
        <v>20000</v>
      </c>
      <c r="D13" s="13">
        <v>5000</v>
      </c>
      <c r="E13" s="97">
        <v>15000</v>
      </c>
      <c r="F13" s="13"/>
      <c r="G13" s="13">
        <v>10000</v>
      </c>
      <c r="H13" s="13">
        <v>10000</v>
      </c>
      <c r="I13" s="13">
        <v>10000</v>
      </c>
      <c r="J13" s="13">
        <v>12000</v>
      </c>
      <c r="K13" s="13"/>
      <c r="L13" s="13"/>
      <c r="M13" s="13"/>
      <c r="N13" s="36"/>
    </row>
    <row r="14" spans="1:14" ht="12.75">
      <c r="A14" s="139" t="s">
        <v>89</v>
      </c>
      <c r="B14" s="34">
        <f t="shared" si="0"/>
        <v>0.5</v>
      </c>
      <c r="C14" s="186">
        <v>300000</v>
      </c>
      <c r="D14" s="13">
        <v>200000</v>
      </c>
      <c r="E14" s="97">
        <v>240000</v>
      </c>
      <c r="F14" s="13"/>
      <c r="G14" s="13">
        <v>250000</v>
      </c>
      <c r="H14" s="13">
        <v>220000</v>
      </c>
      <c r="I14" s="13">
        <v>200000</v>
      </c>
      <c r="J14" s="13">
        <v>182078</v>
      </c>
      <c r="K14" s="13"/>
      <c r="L14" s="13"/>
      <c r="M14" s="13"/>
      <c r="N14" s="36"/>
    </row>
    <row r="15" spans="1:14" ht="12.75">
      <c r="A15" s="139" t="s">
        <v>34</v>
      </c>
      <c r="B15" s="34"/>
      <c r="C15" s="186"/>
      <c r="D15" s="13"/>
      <c r="E15" s="97"/>
      <c r="F15" s="13"/>
      <c r="G15" s="13"/>
      <c r="H15" s="13"/>
      <c r="I15" s="13"/>
      <c r="J15" s="13"/>
      <c r="K15" s="13"/>
      <c r="L15" s="13"/>
      <c r="M15" s="13"/>
      <c r="N15" s="36"/>
    </row>
    <row r="16" spans="1:14" ht="13.5" thickBot="1">
      <c r="A16" s="29" t="s">
        <v>58</v>
      </c>
      <c r="B16" s="35">
        <f t="shared" si="0"/>
        <v>1.7777777777777777</v>
      </c>
      <c r="C16" s="187">
        <v>500000</v>
      </c>
      <c r="D16" s="15">
        <v>180000</v>
      </c>
      <c r="E16" s="98">
        <v>290000</v>
      </c>
      <c r="F16" s="15"/>
      <c r="G16" s="15">
        <v>300000</v>
      </c>
      <c r="H16" s="15">
        <v>200000</v>
      </c>
      <c r="I16" s="15">
        <v>240000</v>
      </c>
      <c r="J16" s="15">
        <v>117330</v>
      </c>
      <c r="K16" s="15"/>
      <c r="L16" s="15"/>
      <c r="M16" s="15"/>
      <c r="N16" s="38"/>
    </row>
    <row r="17" spans="1:14" ht="13.5" thickBot="1">
      <c r="A17" s="44" t="s">
        <v>22</v>
      </c>
      <c r="B17" s="40">
        <f t="shared" si="0"/>
        <v>0.7061224489795919</v>
      </c>
      <c r="C17" s="96">
        <f>SUM(C2:C16)</f>
        <v>2090000</v>
      </c>
      <c r="D17" s="41">
        <v>1225000</v>
      </c>
      <c r="E17" s="41">
        <f>SUM(E2:E16)</f>
        <v>1695000</v>
      </c>
      <c r="F17" s="41"/>
      <c r="G17" s="41">
        <f>SUM(G2:G16)</f>
        <v>1725000</v>
      </c>
      <c r="H17" s="41">
        <f>SUM(H2:H16)</f>
        <v>1475000</v>
      </c>
      <c r="I17" s="41">
        <f>SUM(I2:I16)</f>
        <v>1457000</v>
      </c>
      <c r="J17" s="41">
        <f>SUM(J2:J16)</f>
        <v>1253665</v>
      </c>
      <c r="K17" s="41"/>
      <c r="L17" s="41"/>
      <c r="M17" s="41"/>
      <c r="N17" s="42"/>
    </row>
    <row r="18" spans="1:14" ht="12.75">
      <c r="A18" s="9"/>
      <c r="B18" s="43"/>
      <c r="C18" s="43"/>
      <c r="D18" s="43"/>
      <c r="E18" s="43"/>
      <c r="M18" s="9"/>
      <c r="N18" s="9"/>
    </row>
    <row r="19" spans="1:14" ht="13.5" thickBot="1">
      <c r="A19" s="9"/>
      <c r="B19" s="43"/>
      <c r="C19" s="43"/>
      <c r="D19" s="43"/>
      <c r="E19" s="43"/>
      <c r="M19" s="9"/>
      <c r="N19" s="9"/>
    </row>
    <row r="20" spans="1:14" ht="13.5" thickBot="1">
      <c r="A20" s="30" t="s">
        <v>24</v>
      </c>
      <c r="B20" s="31" t="s">
        <v>188</v>
      </c>
      <c r="C20" s="151">
        <v>43405</v>
      </c>
      <c r="D20" s="99">
        <v>43040</v>
      </c>
      <c r="E20" s="32">
        <v>42675</v>
      </c>
      <c r="F20" s="32">
        <v>42309</v>
      </c>
      <c r="G20" s="32">
        <f>G1</f>
        <v>41944</v>
      </c>
      <c r="H20" s="32">
        <v>41579</v>
      </c>
      <c r="I20" s="32">
        <v>41214</v>
      </c>
      <c r="J20" s="32">
        <v>40848</v>
      </c>
      <c r="K20" s="32">
        <v>40483</v>
      </c>
      <c r="L20" s="32">
        <v>40118</v>
      </c>
      <c r="M20" s="32">
        <v>39753</v>
      </c>
      <c r="N20" s="33">
        <v>39387</v>
      </c>
    </row>
    <row r="21" spans="1:14" ht="12.75">
      <c r="A21" s="26" t="s">
        <v>6</v>
      </c>
      <c r="B21" s="34">
        <f>(C21-D21)/D21</f>
        <v>0.8181818181818182</v>
      </c>
      <c r="C21" s="186">
        <v>40000</v>
      </c>
      <c r="D21" s="13">
        <v>22000</v>
      </c>
      <c r="E21" s="13">
        <v>25000</v>
      </c>
      <c r="F21" s="13"/>
      <c r="G21" s="13">
        <v>35000</v>
      </c>
      <c r="H21" s="13">
        <v>30000</v>
      </c>
      <c r="I21" s="13"/>
      <c r="J21" s="13"/>
      <c r="K21" s="13"/>
      <c r="L21" s="13"/>
      <c r="M21" s="13"/>
      <c r="N21" s="36"/>
    </row>
    <row r="22" spans="1:14" ht="12.75">
      <c r="A22" s="128" t="s">
        <v>93</v>
      </c>
      <c r="B22" s="34"/>
      <c r="C22" s="186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36"/>
    </row>
    <row r="23" spans="1:14" ht="13.5" thickBot="1">
      <c r="A23" s="37" t="s">
        <v>58</v>
      </c>
      <c r="B23" s="35">
        <f>(C23-D23)/D23</f>
        <v>2.3333333333333335</v>
      </c>
      <c r="C23" s="187">
        <v>10000</v>
      </c>
      <c r="D23" s="15">
        <v>3000</v>
      </c>
      <c r="E23" s="15">
        <v>5000</v>
      </c>
      <c r="F23" s="15"/>
      <c r="G23" s="15">
        <v>10000</v>
      </c>
      <c r="H23" s="15">
        <v>10000</v>
      </c>
      <c r="I23" s="15"/>
      <c r="J23" s="15"/>
      <c r="K23" s="15"/>
      <c r="L23" s="15"/>
      <c r="M23" s="15"/>
      <c r="N23" s="38"/>
    </row>
    <row r="24" spans="1:14" ht="13.5" thickBot="1">
      <c r="A24" s="39" t="s">
        <v>22</v>
      </c>
      <c r="B24" s="40">
        <f>(C24-D24)/D24</f>
        <v>1</v>
      </c>
      <c r="C24" s="96">
        <f>SUM(C21:C23)</f>
        <v>50000</v>
      </c>
      <c r="D24" s="41">
        <f>SUM(D21:D23)</f>
        <v>25000</v>
      </c>
      <c r="E24" s="41">
        <f>SUM(E21:E23)</f>
        <v>30000</v>
      </c>
      <c r="F24" s="41"/>
      <c r="G24" s="41">
        <f>SUM(G21:G23)</f>
        <v>45000</v>
      </c>
      <c r="H24" s="41">
        <f>SUM(H21:H23)</f>
        <v>40000</v>
      </c>
      <c r="I24" s="41"/>
      <c r="J24" s="41"/>
      <c r="K24" s="41"/>
      <c r="L24" s="41"/>
      <c r="M24" s="41"/>
      <c r="N24" s="42"/>
    </row>
    <row r="31" spans="13:14" ht="17.25">
      <c r="M31" s="5"/>
      <c r="N31" s="1"/>
    </row>
    <row r="32" spans="13:14" ht="17.25">
      <c r="M32" s="5"/>
      <c r="N32" s="1"/>
    </row>
    <row r="33" spans="13:14" ht="17.25">
      <c r="M33" s="5"/>
      <c r="N33" s="1"/>
    </row>
    <row r="34" spans="13:14" ht="17.25">
      <c r="M34" s="5"/>
      <c r="N34" s="1"/>
    </row>
    <row r="35" spans="13:14" ht="17.25">
      <c r="M35" s="5"/>
      <c r="N35" s="1"/>
    </row>
    <row r="36" spans="13:14" ht="17.25">
      <c r="M36" s="5"/>
      <c r="N36" s="1"/>
    </row>
    <row r="37" spans="13:14" ht="17.25">
      <c r="M37" s="5"/>
      <c r="N37" s="1"/>
    </row>
    <row r="38" spans="13:14" ht="17.25">
      <c r="M38" s="5"/>
      <c r="N38" s="1"/>
    </row>
    <row r="39" spans="13:14" ht="17.25">
      <c r="M39" s="5"/>
      <c r="N39" s="1"/>
    </row>
    <row r="40" spans="13:14" ht="17.25">
      <c r="M40" s="5"/>
      <c r="N40" s="1"/>
    </row>
    <row r="41" spans="13:14" ht="17.25">
      <c r="M41" s="6"/>
      <c r="N41" s="1"/>
    </row>
    <row r="42" spans="13:14" ht="18">
      <c r="M42" s="7"/>
      <c r="N42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9.00390625" style="0" customWidth="1"/>
    <col min="2" max="2" width="11.00390625" style="0" bestFit="1" customWidth="1"/>
    <col min="3" max="3" width="11.00390625" style="0" customWidth="1"/>
    <col min="4" max="4" width="11.00390625" style="9" customWidth="1"/>
    <col min="5" max="12" width="10.28125" style="0" customWidth="1"/>
  </cols>
  <sheetData>
    <row r="1" spans="1:12" ht="13.5" thickBot="1">
      <c r="A1" s="127" t="s">
        <v>91</v>
      </c>
      <c r="B1" s="31" t="s">
        <v>188</v>
      </c>
      <c r="C1" s="151">
        <v>43405</v>
      </c>
      <c r="D1" s="99">
        <v>43040</v>
      </c>
      <c r="E1" s="32">
        <v>42675</v>
      </c>
      <c r="F1" s="32">
        <v>42309</v>
      </c>
      <c r="G1" s="32">
        <v>41944</v>
      </c>
      <c r="H1" s="32">
        <v>41579</v>
      </c>
      <c r="I1" s="32">
        <v>41214</v>
      </c>
      <c r="J1" s="32">
        <v>40848</v>
      </c>
      <c r="K1" s="32">
        <v>40483</v>
      </c>
      <c r="L1" s="48">
        <v>40118</v>
      </c>
    </row>
    <row r="2" spans="1:12" ht="12.75">
      <c r="A2" s="128" t="s">
        <v>8</v>
      </c>
      <c r="B2" s="129"/>
      <c r="C2" s="104"/>
      <c r="D2" s="176"/>
      <c r="E2" s="75"/>
      <c r="F2" s="75"/>
      <c r="G2" s="75"/>
      <c r="H2" s="75"/>
      <c r="I2" s="75"/>
      <c r="J2" s="75"/>
      <c r="K2" s="75"/>
      <c r="L2" s="77"/>
    </row>
    <row r="3" spans="1:12" ht="12.75">
      <c r="A3" s="128" t="s">
        <v>162</v>
      </c>
      <c r="B3" s="129"/>
      <c r="C3" s="104"/>
      <c r="D3" s="176"/>
      <c r="E3" s="75"/>
      <c r="F3" s="75"/>
      <c r="G3" s="75"/>
      <c r="H3" s="75"/>
      <c r="I3" s="75"/>
      <c r="J3" s="75"/>
      <c r="K3" s="75"/>
      <c r="L3" s="77"/>
    </row>
    <row r="4" spans="1:12" ht="12.75">
      <c r="A4" s="128" t="s">
        <v>26</v>
      </c>
      <c r="B4" s="129"/>
      <c r="C4" s="104"/>
      <c r="D4" s="176"/>
      <c r="E4" s="75"/>
      <c r="F4" s="75"/>
      <c r="G4" s="75"/>
      <c r="H4" s="75"/>
      <c r="I4" s="75"/>
      <c r="J4" s="75"/>
      <c r="K4" s="75"/>
      <c r="L4" s="77"/>
    </row>
    <row r="5" spans="1:12" ht="12.75">
      <c r="A5" s="128" t="s">
        <v>25</v>
      </c>
      <c r="B5" s="129"/>
      <c r="C5" s="104"/>
      <c r="D5" s="176"/>
      <c r="E5" s="75"/>
      <c r="F5" s="75"/>
      <c r="G5" s="75"/>
      <c r="H5" s="75"/>
      <c r="I5" s="75"/>
      <c r="J5" s="75"/>
      <c r="K5" s="75"/>
      <c r="L5" s="77"/>
    </row>
    <row r="6" spans="1:12" ht="12.75">
      <c r="A6" s="128" t="s">
        <v>18</v>
      </c>
      <c r="B6" s="129"/>
      <c r="C6" s="104"/>
      <c r="D6" s="176"/>
      <c r="E6" s="75"/>
      <c r="F6" s="75"/>
      <c r="G6" s="75"/>
      <c r="H6" s="75"/>
      <c r="I6" s="75"/>
      <c r="J6" s="75"/>
      <c r="K6" s="75"/>
      <c r="L6" s="77"/>
    </row>
    <row r="7" spans="1:12" ht="12.75">
      <c r="A7" s="128" t="s">
        <v>88</v>
      </c>
      <c r="B7" s="129"/>
      <c r="C7" s="104"/>
      <c r="D7" s="176"/>
      <c r="E7" s="75"/>
      <c r="F7" s="75"/>
      <c r="G7" s="75"/>
      <c r="H7" s="75"/>
      <c r="I7" s="75"/>
      <c r="J7" s="75"/>
      <c r="K7" s="75"/>
      <c r="L7" s="77"/>
    </row>
    <row r="8" spans="1:12" ht="13.5" thickBot="1">
      <c r="A8" s="130" t="s">
        <v>5</v>
      </c>
      <c r="B8" s="131"/>
      <c r="C8" s="152"/>
      <c r="D8" s="177"/>
      <c r="E8" s="76"/>
      <c r="F8" s="75"/>
      <c r="G8" s="75"/>
      <c r="H8" s="75"/>
      <c r="I8" s="75"/>
      <c r="J8" s="75"/>
      <c r="K8" s="75"/>
      <c r="L8" s="77"/>
    </row>
    <row r="9" spans="1:12" ht="13.5" thickBot="1">
      <c r="A9" s="132" t="s">
        <v>92</v>
      </c>
      <c r="B9" s="133"/>
      <c r="C9" s="153"/>
      <c r="D9" s="175"/>
      <c r="E9" s="84"/>
      <c r="F9" s="84"/>
      <c r="G9" s="84"/>
      <c r="H9" s="84"/>
      <c r="I9" s="84"/>
      <c r="J9" s="84"/>
      <c r="K9" s="84"/>
      <c r="L9" s="123"/>
    </row>
    <row r="10" spans="5:12" ht="12.75">
      <c r="E10" s="9"/>
      <c r="F10" s="9"/>
      <c r="G10" s="9"/>
      <c r="H10" s="9"/>
      <c r="I10" s="9"/>
      <c r="J10" s="9"/>
      <c r="K10" s="9"/>
      <c r="L10" s="9"/>
    </row>
    <row r="11" spans="2:12" ht="13.5" thickBot="1">
      <c r="B11" s="3"/>
      <c r="C11" s="3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3.5" thickBot="1">
      <c r="A12" s="140" t="s">
        <v>91</v>
      </c>
      <c r="B12" s="31" t="s">
        <v>188</v>
      </c>
      <c r="C12" s="151">
        <v>43405</v>
      </c>
      <c r="D12" s="99">
        <v>43040</v>
      </c>
      <c r="E12" s="32">
        <v>42675</v>
      </c>
      <c r="F12" s="32">
        <v>42309</v>
      </c>
      <c r="G12" s="32">
        <f>G1</f>
        <v>41944</v>
      </c>
      <c r="H12" s="32">
        <v>41579</v>
      </c>
      <c r="I12" s="32">
        <v>41214</v>
      </c>
      <c r="J12" s="32">
        <v>40848</v>
      </c>
      <c r="K12" s="32">
        <v>40483</v>
      </c>
      <c r="L12" s="48">
        <v>40118</v>
      </c>
    </row>
    <row r="13" spans="1:12" ht="13.5" thickBot="1">
      <c r="A13" s="141" t="s">
        <v>164</v>
      </c>
      <c r="B13" s="142"/>
      <c r="C13" s="154"/>
      <c r="D13" s="178"/>
      <c r="E13" s="80">
        <v>102800</v>
      </c>
      <c r="F13" s="80">
        <v>78742</v>
      </c>
      <c r="G13" s="80">
        <v>130473</v>
      </c>
      <c r="H13" s="80">
        <v>121915</v>
      </c>
      <c r="I13" s="80">
        <v>61341</v>
      </c>
      <c r="J13" s="80">
        <v>119764</v>
      </c>
      <c r="K13" s="80">
        <v>70590</v>
      </c>
      <c r="L13" s="82">
        <v>91390</v>
      </c>
    </row>
    <row r="14" spans="1:12" ht="13.5" thickBot="1">
      <c r="A14" s="140" t="s">
        <v>92</v>
      </c>
      <c r="B14" s="143"/>
      <c r="C14" s="160"/>
      <c r="D14" s="180"/>
      <c r="E14" s="86">
        <v>102800</v>
      </c>
      <c r="F14" s="86">
        <v>78742</v>
      </c>
      <c r="G14" s="86">
        <v>130473</v>
      </c>
      <c r="H14" s="86">
        <v>121915</v>
      </c>
      <c r="I14" s="86">
        <v>61341</v>
      </c>
      <c r="J14" s="86">
        <v>119764</v>
      </c>
      <c r="K14" s="86">
        <v>70590</v>
      </c>
      <c r="L14" s="124">
        <f>SUM(L13)</f>
        <v>91390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9.28125" style="0" customWidth="1"/>
    <col min="2" max="3" width="10.7109375" style="0" customWidth="1"/>
    <col min="4" max="4" width="10.7109375" style="9" customWidth="1"/>
    <col min="5" max="5" width="10.28125" style="0" customWidth="1"/>
    <col min="6" max="13" width="10.28125" style="16" customWidth="1"/>
    <col min="14" max="14" width="10.28125" style="0" customWidth="1"/>
  </cols>
  <sheetData>
    <row r="1" spans="1:14" s="16" customFormat="1" ht="13.5" thickBot="1">
      <c r="A1" s="30" t="s">
        <v>23</v>
      </c>
      <c r="B1" s="31" t="s">
        <v>188</v>
      </c>
      <c r="C1" s="151">
        <v>43405</v>
      </c>
      <c r="D1" s="99">
        <v>43040</v>
      </c>
      <c r="E1" s="32">
        <v>42675</v>
      </c>
      <c r="F1" s="32">
        <v>42309</v>
      </c>
      <c r="G1" s="32">
        <v>41944</v>
      </c>
      <c r="H1" s="32">
        <v>41579</v>
      </c>
      <c r="I1" s="32">
        <v>41214</v>
      </c>
      <c r="J1" s="32">
        <v>40848</v>
      </c>
      <c r="K1" s="32">
        <v>40483</v>
      </c>
      <c r="L1" s="32">
        <v>40118</v>
      </c>
      <c r="M1" s="32">
        <v>39753</v>
      </c>
      <c r="N1" s="33">
        <v>39387</v>
      </c>
    </row>
    <row r="2" spans="1:14" ht="12.75">
      <c r="A2" s="26" t="s">
        <v>109</v>
      </c>
      <c r="B2" s="34">
        <f aca="true" t="shared" si="0" ref="B2:B8">(C2-D2)/D2</f>
        <v>-0.15632599966065266</v>
      </c>
      <c r="C2" s="186">
        <v>14917</v>
      </c>
      <c r="D2" s="13">
        <v>17681</v>
      </c>
      <c r="E2" s="13">
        <v>11672.113218734705</v>
      </c>
      <c r="F2" s="13">
        <v>20179.536646470195</v>
      </c>
      <c r="G2" s="13">
        <v>15863</v>
      </c>
      <c r="H2" s="13">
        <v>15068</v>
      </c>
      <c r="I2" s="13">
        <v>13872</v>
      </c>
      <c r="J2" s="13">
        <v>16123</v>
      </c>
      <c r="K2" s="13">
        <v>15070</v>
      </c>
      <c r="L2" s="13">
        <v>12743</v>
      </c>
      <c r="M2" s="13">
        <v>8037</v>
      </c>
      <c r="N2" s="45">
        <v>18496</v>
      </c>
    </row>
    <row r="3" spans="1:14" ht="12.75">
      <c r="A3" s="26" t="s">
        <v>110</v>
      </c>
      <c r="B3" s="34">
        <f t="shared" si="0"/>
        <v>0.09646851951350559</v>
      </c>
      <c r="C3" s="186">
        <v>22448</v>
      </c>
      <c r="D3" s="13">
        <v>20473</v>
      </c>
      <c r="E3" s="13">
        <v>26942.202654125053</v>
      </c>
      <c r="F3" s="13">
        <v>17991.915198555544</v>
      </c>
      <c r="G3" s="13">
        <v>19974</v>
      </c>
      <c r="H3" s="13">
        <v>13296</v>
      </c>
      <c r="I3" s="13">
        <v>11594</v>
      </c>
      <c r="J3" s="13">
        <v>18180</v>
      </c>
      <c r="K3" s="13">
        <v>20487</v>
      </c>
      <c r="L3" s="13">
        <v>14388</v>
      </c>
      <c r="M3" s="13">
        <v>14831</v>
      </c>
      <c r="N3" s="45">
        <v>26186</v>
      </c>
    </row>
    <row r="4" spans="1:14" ht="12.75">
      <c r="A4" s="26" t="s">
        <v>111</v>
      </c>
      <c r="B4" s="34">
        <f t="shared" si="0"/>
        <v>-0.05066413264486197</v>
      </c>
      <c r="C4" s="186">
        <v>135868</v>
      </c>
      <c r="D4" s="13">
        <v>143119</v>
      </c>
      <c r="E4" s="13">
        <v>172279.00920114375</v>
      </c>
      <c r="F4" s="13">
        <v>135950.85180240267</v>
      </c>
      <c r="G4" s="13">
        <v>163366</v>
      </c>
      <c r="H4" s="13">
        <v>146641</v>
      </c>
      <c r="I4" s="13">
        <v>121165</v>
      </c>
      <c r="J4" s="13">
        <v>162833</v>
      </c>
      <c r="K4" s="13">
        <v>159130</v>
      </c>
      <c r="L4" s="13">
        <v>129885</v>
      </c>
      <c r="M4" s="13">
        <v>139644</v>
      </c>
      <c r="N4" s="45">
        <v>142497</v>
      </c>
    </row>
    <row r="5" spans="1:14" ht="12.75">
      <c r="A5" s="26" t="s">
        <v>16</v>
      </c>
      <c r="B5" s="34">
        <f t="shared" si="0"/>
        <v>0.02452651904194569</v>
      </c>
      <c r="C5" s="186">
        <v>24938</v>
      </c>
      <c r="D5" s="13">
        <v>24341</v>
      </c>
      <c r="E5" s="13">
        <v>21864.883940762844</v>
      </c>
      <c r="F5" s="13">
        <v>22051.635782562334</v>
      </c>
      <c r="G5" s="13">
        <v>20345</v>
      </c>
      <c r="H5" s="13">
        <v>17887</v>
      </c>
      <c r="I5" s="13">
        <v>13010</v>
      </c>
      <c r="J5" s="13">
        <v>13539</v>
      </c>
      <c r="K5" s="13">
        <v>12068</v>
      </c>
      <c r="L5" s="13">
        <v>14544</v>
      </c>
      <c r="M5" s="13">
        <v>13565</v>
      </c>
      <c r="N5" s="45">
        <v>10759</v>
      </c>
    </row>
    <row r="6" spans="1:14" ht="12.75">
      <c r="A6" s="28" t="s">
        <v>18</v>
      </c>
      <c r="B6" s="34">
        <f t="shared" si="0"/>
        <v>0.08359168028859704</v>
      </c>
      <c r="C6" s="186">
        <v>19224</v>
      </c>
      <c r="D6" s="13">
        <v>17741</v>
      </c>
      <c r="E6" s="13">
        <v>20832.45058535198</v>
      </c>
      <c r="F6" s="97">
        <v>19244.493246112666</v>
      </c>
      <c r="G6" s="97">
        <v>19526</v>
      </c>
      <c r="H6" s="97">
        <v>17454</v>
      </c>
      <c r="I6" s="97">
        <v>13849</v>
      </c>
      <c r="J6" s="97">
        <v>19539</v>
      </c>
      <c r="K6" s="97">
        <v>20515</v>
      </c>
      <c r="L6" s="97">
        <v>17921</v>
      </c>
      <c r="M6" s="97">
        <v>26449</v>
      </c>
      <c r="N6" s="45">
        <v>26644</v>
      </c>
    </row>
    <row r="7" spans="1:14" ht="13.5" thickBot="1">
      <c r="A7" s="29" t="s">
        <v>58</v>
      </c>
      <c r="B7" s="35">
        <f t="shared" si="0"/>
        <v>-0.5849189570119803</v>
      </c>
      <c r="C7" s="187">
        <v>2356</v>
      </c>
      <c r="D7" s="15">
        <v>5676</v>
      </c>
      <c r="E7" s="15">
        <v>2454.039375113174</v>
      </c>
      <c r="F7" s="98">
        <v>2667.0595630228095</v>
      </c>
      <c r="G7" s="98">
        <v>1685</v>
      </c>
      <c r="H7" s="98">
        <v>1442</v>
      </c>
      <c r="I7" s="98">
        <v>1688</v>
      </c>
      <c r="J7" s="98">
        <v>2589</v>
      </c>
      <c r="K7" s="98">
        <v>2270</v>
      </c>
      <c r="L7" s="98">
        <v>1917</v>
      </c>
      <c r="M7" s="98">
        <v>2390</v>
      </c>
      <c r="N7" s="46">
        <v>3373</v>
      </c>
    </row>
    <row r="8" spans="1:14" ht="13.5" thickBot="1">
      <c r="A8" s="44" t="s">
        <v>22</v>
      </c>
      <c r="B8" s="40">
        <f t="shared" si="0"/>
        <v>-0.040518532425741494</v>
      </c>
      <c r="C8" s="96">
        <f>SUM(C2:C7)</f>
        <v>219751</v>
      </c>
      <c r="D8" s="41">
        <f>SUM(D2:D7)</f>
        <v>229031</v>
      </c>
      <c r="E8" s="41">
        <f aca="true" t="shared" si="1" ref="E8:N8">SUM(E2:E7)</f>
        <v>256044.69897523153</v>
      </c>
      <c r="F8" s="41">
        <f t="shared" si="1"/>
        <v>218085.4922391262</v>
      </c>
      <c r="G8" s="41">
        <f t="shared" si="1"/>
        <v>240759</v>
      </c>
      <c r="H8" s="41">
        <f t="shared" si="1"/>
        <v>211788</v>
      </c>
      <c r="I8" s="41">
        <f t="shared" si="1"/>
        <v>175178</v>
      </c>
      <c r="J8" s="41">
        <f t="shared" si="1"/>
        <v>232803</v>
      </c>
      <c r="K8" s="41">
        <f t="shared" si="1"/>
        <v>229540</v>
      </c>
      <c r="L8" s="41">
        <f t="shared" si="1"/>
        <v>191398</v>
      </c>
      <c r="M8" s="41">
        <f t="shared" si="1"/>
        <v>204916</v>
      </c>
      <c r="N8" s="47">
        <f t="shared" si="1"/>
        <v>227955</v>
      </c>
    </row>
    <row r="9" spans="2:14" s="9" customFormat="1" ht="12.75">
      <c r="B9" s="43"/>
      <c r="C9" s="43"/>
      <c r="D9" s="43"/>
      <c r="E9" s="43"/>
      <c r="F9" s="12"/>
      <c r="G9" s="12"/>
      <c r="H9" s="12"/>
      <c r="I9" s="12"/>
      <c r="J9" s="12"/>
      <c r="K9" s="12"/>
      <c r="L9" s="12"/>
      <c r="M9" s="12"/>
      <c r="N9" s="159"/>
    </row>
    <row r="10" spans="2:14" s="9" customFormat="1" ht="13.5" thickBot="1">
      <c r="B10" s="43"/>
      <c r="C10" s="43"/>
      <c r="D10" s="43"/>
      <c r="E10" s="43"/>
      <c r="F10" s="12"/>
      <c r="G10" s="12"/>
      <c r="H10" s="12"/>
      <c r="I10" s="12"/>
      <c r="J10" s="12"/>
      <c r="K10" s="12"/>
      <c r="L10" s="12"/>
      <c r="M10" s="12"/>
      <c r="N10" s="159"/>
    </row>
    <row r="11" spans="1:14" s="16" customFormat="1" ht="13.5" thickBot="1">
      <c r="A11" s="30" t="s">
        <v>24</v>
      </c>
      <c r="B11" s="31" t="s">
        <v>188</v>
      </c>
      <c r="C11" s="151">
        <v>43405</v>
      </c>
      <c r="D11" s="99">
        <v>43040</v>
      </c>
      <c r="E11" s="32">
        <v>42675</v>
      </c>
      <c r="F11" s="32">
        <v>42309</v>
      </c>
      <c r="G11" s="32">
        <f>G1</f>
        <v>41944</v>
      </c>
      <c r="H11" s="32">
        <v>41579</v>
      </c>
      <c r="I11" s="32">
        <v>41214</v>
      </c>
      <c r="J11" s="32">
        <v>40848</v>
      </c>
      <c r="K11" s="32">
        <v>40483</v>
      </c>
      <c r="L11" s="32">
        <v>40118</v>
      </c>
      <c r="M11" s="32">
        <v>39753</v>
      </c>
      <c r="N11" s="33">
        <v>39387</v>
      </c>
    </row>
    <row r="12" spans="1:14" ht="12.75">
      <c r="A12" s="26" t="s">
        <v>37</v>
      </c>
      <c r="B12" s="34">
        <f aca="true" t="shared" si="2" ref="B12:B17">(C12-D12)/D12</f>
        <v>-0.2789250728091078</v>
      </c>
      <c r="C12" s="186">
        <v>5447</v>
      </c>
      <c r="D12" s="13">
        <v>7554</v>
      </c>
      <c r="E12" s="13">
        <v>7881.015133238157</v>
      </c>
      <c r="F12" s="13">
        <v>6043.813919212653</v>
      </c>
      <c r="G12" s="13">
        <v>7216</v>
      </c>
      <c r="H12" s="13">
        <v>11340</v>
      </c>
      <c r="I12" s="13">
        <v>7740</v>
      </c>
      <c r="J12" s="13">
        <v>11263</v>
      </c>
      <c r="K12" s="13">
        <v>12368</v>
      </c>
      <c r="L12" s="13">
        <v>9990</v>
      </c>
      <c r="M12" s="13">
        <v>9600</v>
      </c>
      <c r="N12" s="45">
        <v>11286</v>
      </c>
    </row>
    <row r="13" spans="1:14" ht="12.75">
      <c r="A13" s="26" t="s">
        <v>38</v>
      </c>
      <c r="B13" s="34">
        <f t="shared" si="2"/>
        <v>-0.22272297739332703</v>
      </c>
      <c r="C13" s="186">
        <v>10693</v>
      </c>
      <c r="D13" s="13">
        <v>13757</v>
      </c>
      <c r="E13" s="13">
        <v>16281.454222497301</v>
      </c>
      <c r="F13" s="13">
        <v>14099.650289762667</v>
      </c>
      <c r="G13" s="13">
        <v>16491</v>
      </c>
      <c r="H13" s="13">
        <v>18187</v>
      </c>
      <c r="I13" s="13">
        <v>14836</v>
      </c>
      <c r="J13" s="13">
        <v>25225</v>
      </c>
      <c r="K13" s="13">
        <v>29610</v>
      </c>
      <c r="L13" s="13">
        <v>27570</v>
      </c>
      <c r="M13" s="13">
        <v>22467</v>
      </c>
      <c r="N13" s="45">
        <v>46474</v>
      </c>
    </row>
    <row r="14" spans="1:14" ht="12.75">
      <c r="A14" s="26" t="s">
        <v>6</v>
      </c>
      <c r="B14" s="34">
        <f t="shared" si="2"/>
        <v>-0.14825769739992675</v>
      </c>
      <c r="C14" s="186">
        <v>60472</v>
      </c>
      <c r="D14" s="13">
        <v>70998</v>
      </c>
      <c r="E14" s="13">
        <v>63014.54227266738</v>
      </c>
      <c r="F14" s="13">
        <v>60007.95820152251</v>
      </c>
      <c r="G14" s="13">
        <v>78503</v>
      </c>
      <c r="H14" s="13">
        <v>86668</v>
      </c>
      <c r="I14" s="13">
        <v>59204</v>
      </c>
      <c r="J14" s="13">
        <v>92931</v>
      </c>
      <c r="K14" s="13">
        <v>89617</v>
      </c>
      <c r="L14" s="13">
        <v>59771</v>
      </c>
      <c r="M14" s="13">
        <v>78807</v>
      </c>
      <c r="N14" s="45">
        <v>54973</v>
      </c>
    </row>
    <row r="15" spans="1:14" ht="12.75">
      <c r="A15" s="26" t="s">
        <v>112</v>
      </c>
      <c r="B15" s="34">
        <f t="shared" si="2"/>
        <v>133.33333333333334</v>
      </c>
      <c r="C15" s="186">
        <v>2015</v>
      </c>
      <c r="D15" s="13">
        <v>15</v>
      </c>
      <c r="E15" s="13">
        <v>1251.3840433287917</v>
      </c>
      <c r="F15" s="13">
        <v>359.50983860375345</v>
      </c>
      <c r="G15" s="13">
        <v>650</v>
      </c>
      <c r="H15" s="13">
        <v>2413</v>
      </c>
      <c r="I15" s="13">
        <v>150</v>
      </c>
      <c r="J15" s="13">
        <v>957</v>
      </c>
      <c r="K15" s="13">
        <v>601</v>
      </c>
      <c r="L15" s="13">
        <v>341</v>
      </c>
      <c r="M15" s="13">
        <v>747</v>
      </c>
      <c r="N15" s="45">
        <v>0</v>
      </c>
    </row>
    <row r="16" spans="1:14" ht="13.5" thickBot="1">
      <c r="A16" s="37" t="s">
        <v>58</v>
      </c>
      <c r="B16" s="35">
        <f t="shared" si="2"/>
        <v>0.2927760474228876</v>
      </c>
      <c r="C16" s="187">
        <v>12867</v>
      </c>
      <c r="D16" s="15">
        <v>9953</v>
      </c>
      <c r="E16" s="15">
        <v>11906.565365081171</v>
      </c>
      <c r="F16" s="15">
        <v>9747.151254066393</v>
      </c>
      <c r="G16" s="15">
        <v>10537</v>
      </c>
      <c r="H16" s="15">
        <v>12171</v>
      </c>
      <c r="I16" s="15">
        <v>6680</v>
      </c>
      <c r="J16" s="15">
        <v>16767</v>
      </c>
      <c r="K16" s="15">
        <v>11488</v>
      </c>
      <c r="L16" s="15">
        <v>9738</v>
      </c>
      <c r="M16" s="15">
        <v>9941</v>
      </c>
      <c r="N16" s="46">
        <v>19776</v>
      </c>
    </row>
    <row r="17" spans="1:14" ht="13.5" thickBot="1">
      <c r="A17" s="39" t="s">
        <v>22</v>
      </c>
      <c r="B17" s="40">
        <f t="shared" si="2"/>
        <v>-0.10542937317285411</v>
      </c>
      <c r="C17" s="96">
        <f>SUM(C12:C16)</f>
        <v>91494</v>
      </c>
      <c r="D17" s="41">
        <f>SUM(D12:D16)</f>
        <v>102277</v>
      </c>
      <c r="E17" s="41">
        <f aca="true" t="shared" si="3" ref="E17:N17">SUM(E12:E16)</f>
        <v>100334.9610368128</v>
      </c>
      <c r="F17" s="41">
        <f t="shared" si="3"/>
        <v>90258.08350316797</v>
      </c>
      <c r="G17" s="41">
        <f t="shared" si="3"/>
        <v>113397</v>
      </c>
      <c r="H17" s="41">
        <f t="shared" si="3"/>
        <v>130779</v>
      </c>
      <c r="I17" s="41">
        <f t="shared" si="3"/>
        <v>88610</v>
      </c>
      <c r="J17" s="41">
        <f t="shared" si="3"/>
        <v>147143</v>
      </c>
      <c r="K17" s="41">
        <f t="shared" si="3"/>
        <v>143684</v>
      </c>
      <c r="L17" s="41">
        <f t="shared" si="3"/>
        <v>107410</v>
      </c>
      <c r="M17" s="41">
        <f t="shared" si="3"/>
        <v>121562</v>
      </c>
      <c r="N17" s="47">
        <f t="shared" si="3"/>
        <v>132509</v>
      </c>
    </row>
    <row r="24" spans="14:15" ht="17.25">
      <c r="N24" s="5"/>
      <c r="O24" s="1"/>
    </row>
    <row r="25" spans="14:15" ht="17.25">
      <c r="N25" s="5"/>
      <c r="O25" s="1"/>
    </row>
    <row r="26" spans="14:15" ht="17.25">
      <c r="N26" s="5"/>
      <c r="O26" s="1"/>
    </row>
    <row r="27" spans="14:15" ht="17.25">
      <c r="N27" s="5"/>
      <c r="O27" s="1"/>
    </row>
    <row r="28" spans="14:15" ht="17.25">
      <c r="N28" s="5"/>
      <c r="O28" s="1"/>
    </row>
    <row r="29" spans="14:15" ht="17.25">
      <c r="N29" s="5"/>
      <c r="O29" s="1"/>
    </row>
    <row r="30" spans="14:15" ht="17.25">
      <c r="N30" s="5"/>
      <c r="O30" s="1"/>
    </row>
    <row r="31" spans="14:15" ht="17.25">
      <c r="N31" s="5"/>
      <c r="O31" s="1"/>
    </row>
    <row r="32" spans="14:15" ht="17.25">
      <c r="N32" s="5"/>
      <c r="O32" s="1"/>
    </row>
    <row r="33" spans="14:15" ht="17.25">
      <c r="N33" s="5"/>
      <c r="O33" s="1"/>
    </row>
    <row r="34" spans="14:15" ht="17.25">
      <c r="N34" s="6"/>
      <c r="O34" s="1"/>
    </row>
    <row r="35" spans="14:15" ht="18">
      <c r="N35" s="7"/>
      <c r="O35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9.28125" style="0" customWidth="1"/>
    <col min="2" max="3" width="10.7109375" style="0" customWidth="1"/>
    <col min="4" max="4" width="10.7109375" style="9" customWidth="1"/>
    <col min="5" max="5" width="10.28125" style="0" customWidth="1"/>
    <col min="6" max="13" width="10.28125" style="16" customWidth="1"/>
    <col min="14" max="14" width="10.28125" style="0" customWidth="1"/>
  </cols>
  <sheetData>
    <row r="1" spans="1:14" s="16" customFormat="1" ht="13.5" thickBot="1">
      <c r="A1" s="30" t="s">
        <v>23</v>
      </c>
      <c r="B1" s="31" t="s">
        <v>188</v>
      </c>
      <c r="C1" s="151">
        <v>43405</v>
      </c>
      <c r="D1" s="99">
        <v>43040</v>
      </c>
      <c r="E1" s="32">
        <v>42675</v>
      </c>
      <c r="F1" s="32">
        <v>42309</v>
      </c>
      <c r="G1" s="32">
        <v>41944</v>
      </c>
      <c r="H1" s="32">
        <v>41579</v>
      </c>
      <c r="I1" s="32">
        <v>41214</v>
      </c>
      <c r="J1" s="32">
        <v>40848</v>
      </c>
      <c r="K1" s="32">
        <v>40483</v>
      </c>
      <c r="L1" s="32">
        <v>40118</v>
      </c>
      <c r="M1" s="32">
        <v>39753</v>
      </c>
      <c r="N1" s="33">
        <v>39387</v>
      </c>
    </row>
    <row r="2" spans="1:14" ht="12.75">
      <c r="A2" s="26" t="s">
        <v>3</v>
      </c>
      <c r="B2" s="34">
        <f>(C2-D2)/D2</f>
        <v>13.616161616161616</v>
      </c>
      <c r="C2" s="186">
        <f>1358+89</f>
        <v>1447</v>
      </c>
      <c r="D2" s="75">
        <v>99</v>
      </c>
      <c r="E2" s="13">
        <v>1246</v>
      </c>
      <c r="F2" s="13">
        <v>762</v>
      </c>
      <c r="G2" s="13">
        <v>880</v>
      </c>
      <c r="H2" s="13">
        <v>939</v>
      </c>
      <c r="I2" s="13">
        <v>956</v>
      </c>
      <c r="J2" s="13">
        <v>1123</v>
      </c>
      <c r="K2" s="13">
        <v>989</v>
      </c>
      <c r="L2" s="13">
        <v>795</v>
      </c>
      <c r="M2" s="13">
        <v>1941</v>
      </c>
      <c r="N2" s="45">
        <v>1981</v>
      </c>
    </row>
    <row r="3" spans="1:14" ht="12.75">
      <c r="A3" s="26" t="s">
        <v>10</v>
      </c>
      <c r="B3" s="34">
        <f>(C3-D3)/D3</f>
        <v>0.6764555233054464</v>
      </c>
      <c r="C3" s="186">
        <f>9572+247</f>
        <v>9819</v>
      </c>
      <c r="D3" s="13">
        <v>5857</v>
      </c>
      <c r="E3" s="13">
        <v>6752</v>
      </c>
      <c r="F3" s="13">
        <v>10148</v>
      </c>
      <c r="G3" s="13">
        <v>9055</v>
      </c>
      <c r="H3" s="13">
        <v>5478</v>
      </c>
      <c r="I3" s="13">
        <v>8919</v>
      </c>
      <c r="J3" s="13">
        <v>9510</v>
      </c>
      <c r="K3" s="13">
        <v>8131</v>
      </c>
      <c r="L3" s="13">
        <v>8433</v>
      </c>
      <c r="M3" s="13">
        <v>6152</v>
      </c>
      <c r="N3" s="45">
        <v>6618</v>
      </c>
    </row>
    <row r="4" spans="1:14" ht="12.75">
      <c r="A4" s="26" t="s">
        <v>4</v>
      </c>
      <c r="B4" s="34">
        <f>(C4-D4)/D4</f>
        <v>104.2</v>
      </c>
      <c r="C4" s="186">
        <f>515+11</f>
        <v>526</v>
      </c>
      <c r="D4" s="13">
        <v>5</v>
      </c>
      <c r="E4" s="13">
        <v>276</v>
      </c>
      <c r="F4" s="13">
        <v>59</v>
      </c>
      <c r="G4" s="13">
        <v>31</v>
      </c>
      <c r="H4" s="13">
        <v>184</v>
      </c>
      <c r="I4" s="13">
        <v>116</v>
      </c>
      <c r="J4" s="13">
        <v>596</v>
      </c>
      <c r="K4" s="13">
        <v>251</v>
      </c>
      <c r="L4" s="13">
        <v>232</v>
      </c>
      <c r="M4" s="13">
        <v>633</v>
      </c>
      <c r="N4" s="45">
        <v>660</v>
      </c>
    </row>
    <row r="5" spans="1:14" ht="12.75">
      <c r="A5" s="26" t="s">
        <v>1</v>
      </c>
      <c r="B5" s="34">
        <f>(C5-D5)/D5</f>
        <v>4.684210526315789</v>
      </c>
      <c r="C5" s="186">
        <f>63+45</f>
        <v>108</v>
      </c>
      <c r="D5" s="13">
        <v>19</v>
      </c>
      <c r="E5" s="13">
        <v>226</v>
      </c>
      <c r="F5" s="13">
        <v>20</v>
      </c>
      <c r="G5" s="13">
        <v>94</v>
      </c>
      <c r="H5" s="13">
        <v>337</v>
      </c>
      <c r="I5" s="13">
        <v>35</v>
      </c>
      <c r="J5" s="13">
        <v>448</v>
      </c>
      <c r="K5" s="13">
        <v>134</v>
      </c>
      <c r="L5" s="13">
        <v>482</v>
      </c>
      <c r="M5" s="13">
        <v>290</v>
      </c>
      <c r="N5" s="45">
        <v>562</v>
      </c>
    </row>
    <row r="6" spans="1:14" ht="12.75">
      <c r="A6" s="26" t="s">
        <v>8</v>
      </c>
      <c r="B6" s="34">
        <f>(C6-D6)/D6</f>
        <v>0.5594173907607677</v>
      </c>
      <c r="C6" s="186">
        <f>23291+1655</f>
        <v>24946</v>
      </c>
      <c r="D6" s="13">
        <v>15997</v>
      </c>
      <c r="E6" s="13">
        <v>18689</v>
      </c>
      <c r="F6" s="13">
        <v>21329</v>
      </c>
      <c r="G6" s="13">
        <v>19172</v>
      </c>
      <c r="H6" s="13">
        <v>20444</v>
      </c>
      <c r="I6" s="13">
        <v>19636</v>
      </c>
      <c r="J6" s="13">
        <v>22924</v>
      </c>
      <c r="K6" s="13">
        <v>19026</v>
      </c>
      <c r="L6" s="13">
        <v>21586</v>
      </c>
      <c r="M6" s="13">
        <v>15312</v>
      </c>
      <c r="N6" s="45">
        <v>18263</v>
      </c>
    </row>
    <row r="7" spans="1:14" ht="12.75">
      <c r="A7" s="26" t="s">
        <v>113</v>
      </c>
      <c r="B7" s="34">
        <f aca="true" t="shared" si="0" ref="B7:B19">(C7-D7)/D7</f>
        <v>3.0434782608695654</v>
      </c>
      <c r="C7" s="186">
        <f>143+43</f>
        <v>186</v>
      </c>
      <c r="D7" s="13">
        <v>46</v>
      </c>
      <c r="E7" s="13">
        <v>120</v>
      </c>
      <c r="F7" s="13">
        <v>190</v>
      </c>
      <c r="G7" s="13">
        <v>97</v>
      </c>
      <c r="H7" s="13">
        <v>179</v>
      </c>
      <c r="I7" s="13">
        <v>217</v>
      </c>
      <c r="J7" s="13">
        <v>218</v>
      </c>
      <c r="K7" s="13">
        <v>519</v>
      </c>
      <c r="L7" s="13">
        <v>379</v>
      </c>
      <c r="M7" s="13">
        <v>608</v>
      </c>
      <c r="N7" s="45">
        <v>513</v>
      </c>
    </row>
    <row r="8" spans="1:14" ht="12.75">
      <c r="A8" s="28" t="s">
        <v>2</v>
      </c>
      <c r="B8" s="34">
        <f t="shared" si="0"/>
        <v>-0.01754530477759473</v>
      </c>
      <c r="C8" s="186">
        <f>11787+140</f>
        <v>11927</v>
      </c>
      <c r="D8" s="13">
        <v>12140</v>
      </c>
      <c r="E8" s="13">
        <v>16115</v>
      </c>
      <c r="F8" s="97">
        <v>14652</v>
      </c>
      <c r="G8" s="97">
        <v>15328</v>
      </c>
      <c r="H8" s="97">
        <v>14158</v>
      </c>
      <c r="I8" s="97">
        <v>17996</v>
      </c>
      <c r="J8" s="97">
        <v>17170</v>
      </c>
      <c r="K8" s="97">
        <v>19647</v>
      </c>
      <c r="L8" s="97">
        <v>20423</v>
      </c>
      <c r="M8" s="97">
        <v>20547</v>
      </c>
      <c r="N8" s="45">
        <v>21999</v>
      </c>
    </row>
    <row r="9" spans="1:14" ht="12.75">
      <c r="A9" s="28" t="s">
        <v>16</v>
      </c>
      <c r="B9" s="34">
        <f t="shared" si="0"/>
        <v>-0.05172413793103448</v>
      </c>
      <c r="C9" s="186">
        <f>378+7</f>
        <v>385</v>
      </c>
      <c r="D9" s="13">
        <v>406</v>
      </c>
      <c r="E9" s="13">
        <v>463</v>
      </c>
      <c r="F9" s="97">
        <v>533</v>
      </c>
      <c r="G9" s="97">
        <v>626</v>
      </c>
      <c r="H9" s="97">
        <v>349</v>
      </c>
      <c r="I9" s="97">
        <v>745</v>
      </c>
      <c r="J9" s="97">
        <v>492</v>
      </c>
      <c r="K9" s="97">
        <v>703</v>
      </c>
      <c r="L9" s="97">
        <v>559</v>
      </c>
      <c r="M9" s="97">
        <v>990</v>
      </c>
      <c r="N9" s="45">
        <v>594</v>
      </c>
    </row>
    <row r="10" spans="1:14" ht="12.75">
      <c r="A10" s="28" t="s">
        <v>9</v>
      </c>
      <c r="B10" s="34">
        <f t="shared" si="0"/>
        <v>1.087378640776699</v>
      </c>
      <c r="C10" s="186">
        <f>302+128</f>
        <v>430</v>
      </c>
      <c r="D10" s="13">
        <v>206</v>
      </c>
      <c r="E10" s="13">
        <v>662</v>
      </c>
      <c r="F10" s="97">
        <v>1242</v>
      </c>
      <c r="G10" s="97">
        <v>1202</v>
      </c>
      <c r="H10" s="97">
        <v>1436</v>
      </c>
      <c r="I10" s="97">
        <v>1925</v>
      </c>
      <c r="J10" s="97">
        <v>1344</v>
      </c>
      <c r="K10" s="97">
        <v>2869</v>
      </c>
      <c r="L10" s="97">
        <v>2329</v>
      </c>
      <c r="M10" s="97">
        <v>3529</v>
      </c>
      <c r="N10" s="45">
        <v>2337</v>
      </c>
    </row>
    <row r="11" spans="1:14" ht="12.75">
      <c r="A11" s="28" t="s">
        <v>26</v>
      </c>
      <c r="B11" s="34">
        <f t="shared" si="0"/>
        <v>8.972972972972974</v>
      </c>
      <c r="C11" s="186">
        <f>2105+109</f>
        <v>2214</v>
      </c>
      <c r="D11" s="13">
        <v>222</v>
      </c>
      <c r="E11" s="13">
        <v>3363</v>
      </c>
      <c r="F11" s="97">
        <v>2847</v>
      </c>
      <c r="G11" s="97">
        <v>3190</v>
      </c>
      <c r="H11" s="97">
        <v>3159</v>
      </c>
      <c r="I11" s="97">
        <v>3272</v>
      </c>
      <c r="J11" s="97">
        <v>3737</v>
      </c>
      <c r="K11" s="97">
        <v>3116</v>
      </c>
      <c r="L11" s="97">
        <v>4015</v>
      </c>
      <c r="M11" s="97">
        <v>4348</v>
      </c>
      <c r="N11" s="45">
        <v>4404</v>
      </c>
    </row>
    <row r="12" spans="1:14" ht="12.75">
      <c r="A12" s="28" t="s">
        <v>114</v>
      </c>
      <c r="B12" s="34"/>
      <c r="C12" s="186">
        <f>6+350</f>
        <v>356</v>
      </c>
      <c r="D12" s="13">
        <v>0</v>
      </c>
      <c r="E12" s="13">
        <v>206</v>
      </c>
      <c r="F12" s="97">
        <v>205</v>
      </c>
      <c r="G12" s="97">
        <v>270</v>
      </c>
      <c r="H12" s="97">
        <v>316</v>
      </c>
      <c r="I12" s="97">
        <v>197</v>
      </c>
      <c r="J12" s="97">
        <v>210</v>
      </c>
      <c r="K12" s="97">
        <v>216</v>
      </c>
      <c r="L12" s="97">
        <v>219</v>
      </c>
      <c r="M12" s="97">
        <v>274</v>
      </c>
      <c r="N12" s="45">
        <v>184</v>
      </c>
    </row>
    <row r="13" spans="1:14" ht="12.75">
      <c r="A13" s="28" t="s">
        <v>115</v>
      </c>
      <c r="B13" s="34">
        <f t="shared" si="0"/>
        <v>0.9927007299270073</v>
      </c>
      <c r="C13" s="186">
        <f>75+198</f>
        <v>273</v>
      </c>
      <c r="D13" s="13">
        <v>137</v>
      </c>
      <c r="E13" s="13">
        <v>296</v>
      </c>
      <c r="F13" s="97">
        <v>566</v>
      </c>
      <c r="G13" s="97">
        <v>810</v>
      </c>
      <c r="H13" s="97">
        <v>792</v>
      </c>
      <c r="I13" s="97">
        <v>1633</v>
      </c>
      <c r="J13" s="97">
        <v>2228</v>
      </c>
      <c r="K13" s="97">
        <v>3538</v>
      </c>
      <c r="L13" s="97">
        <v>4275</v>
      </c>
      <c r="M13" s="97">
        <v>4491</v>
      </c>
      <c r="N13" s="45">
        <v>5841</v>
      </c>
    </row>
    <row r="14" spans="1:14" ht="12.75">
      <c r="A14" s="28" t="s">
        <v>12</v>
      </c>
      <c r="B14" s="34">
        <f t="shared" si="0"/>
        <v>0.04477611940298507</v>
      </c>
      <c r="C14" s="186">
        <f>151+129</f>
        <v>280</v>
      </c>
      <c r="D14" s="13">
        <v>268</v>
      </c>
      <c r="E14" s="13">
        <v>357</v>
      </c>
      <c r="F14" s="97">
        <v>576</v>
      </c>
      <c r="G14" s="97">
        <v>605</v>
      </c>
      <c r="H14" s="97">
        <v>842</v>
      </c>
      <c r="I14" s="97">
        <v>1056</v>
      </c>
      <c r="J14" s="97">
        <v>1151</v>
      </c>
      <c r="K14" s="97">
        <v>1001</v>
      </c>
      <c r="L14" s="97">
        <v>1095</v>
      </c>
      <c r="M14" s="97">
        <v>936</v>
      </c>
      <c r="N14" s="45">
        <v>977</v>
      </c>
    </row>
    <row r="15" spans="1:14" ht="12.75">
      <c r="A15" s="28" t="s">
        <v>116</v>
      </c>
      <c r="B15" s="34">
        <f t="shared" si="0"/>
        <v>20.8</v>
      </c>
      <c r="C15" s="186">
        <f>96+13</f>
        <v>109</v>
      </c>
      <c r="D15" s="13">
        <v>5</v>
      </c>
      <c r="E15" s="13">
        <v>39</v>
      </c>
      <c r="F15" s="97">
        <v>47</v>
      </c>
      <c r="G15" s="97">
        <v>41</v>
      </c>
      <c r="H15" s="97">
        <v>164</v>
      </c>
      <c r="I15" s="97">
        <v>147</v>
      </c>
      <c r="J15" s="97">
        <v>193</v>
      </c>
      <c r="K15" s="97">
        <v>113</v>
      </c>
      <c r="L15" s="97">
        <v>249</v>
      </c>
      <c r="M15" s="97">
        <v>281</v>
      </c>
      <c r="N15" s="45">
        <v>288</v>
      </c>
    </row>
    <row r="16" spans="1:14" ht="12.75">
      <c r="A16" s="28" t="s">
        <v>97</v>
      </c>
      <c r="B16" s="34">
        <f t="shared" si="0"/>
        <v>2.843260188087774</v>
      </c>
      <c r="C16" s="186">
        <f>372+854</f>
        <v>1226</v>
      </c>
      <c r="D16" s="13">
        <v>319</v>
      </c>
      <c r="E16" s="13">
        <v>759</v>
      </c>
      <c r="F16" s="97">
        <v>1242</v>
      </c>
      <c r="G16" s="97">
        <v>1338</v>
      </c>
      <c r="H16" s="97">
        <v>1385</v>
      </c>
      <c r="I16" s="97">
        <v>1533</v>
      </c>
      <c r="J16" s="97">
        <v>1667</v>
      </c>
      <c r="K16" s="97">
        <v>1465</v>
      </c>
      <c r="L16" s="97">
        <v>1553</v>
      </c>
      <c r="M16" s="97">
        <v>1087</v>
      </c>
      <c r="N16" s="45">
        <v>1526</v>
      </c>
    </row>
    <row r="17" spans="1:14" ht="12.75">
      <c r="A17" s="52" t="s">
        <v>124</v>
      </c>
      <c r="B17" s="34">
        <f t="shared" si="0"/>
        <v>0.43573170731707317</v>
      </c>
      <c r="C17" s="186">
        <f>11552+221</f>
        <v>11773</v>
      </c>
      <c r="D17" s="13">
        <v>8200</v>
      </c>
      <c r="E17" s="13">
        <v>8050</v>
      </c>
      <c r="F17" s="97">
        <v>9155</v>
      </c>
      <c r="G17" s="97">
        <v>8668</v>
      </c>
      <c r="H17" s="97">
        <v>5355</v>
      </c>
      <c r="I17" s="97">
        <v>5946</v>
      </c>
      <c r="J17" s="97">
        <v>6905</v>
      </c>
      <c r="K17" s="97">
        <v>3946</v>
      </c>
      <c r="L17" s="97">
        <v>3890</v>
      </c>
      <c r="M17" s="97">
        <v>2095</v>
      </c>
      <c r="N17" s="45">
        <v>1706</v>
      </c>
    </row>
    <row r="18" spans="1:16" ht="13.5" thickBot="1">
      <c r="A18" s="29" t="s">
        <v>58</v>
      </c>
      <c r="B18" s="35">
        <f t="shared" si="0"/>
        <v>1.0934620447564722</v>
      </c>
      <c r="C18" s="187">
        <f>722+755+589+36+2623+46</f>
        <v>4771</v>
      </c>
      <c r="D18" s="15">
        <v>2279</v>
      </c>
      <c r="E18" s="15">
        <v>3427</v>
      </c>
      <c r="F18" s="98">
        <v>4149</v>
      </c>
      <c r="G18" s="98">
        <v>4005</v>
      </c>
      <c r="H18" s="98">
        <v>3842</v>
      </c>
      <c r="I18" s="98">
        <v>3205</v>
      </c>
      <c r="J18" s="98">
        <v>2998</v>
      </c>
      <c r="K18" s="98">
        <v>2166</v>
      </c>
      <c r="L18" s="98">
        <v>1963</v>
      </c>
      <c r="M18" s="98">
        <v>847</v>
      </c>
      <c r="N18" s="46">
        <v>918</v>
      </c>
      <c r="O18" s="13"/>
      <c r="P18" s="1"/>
    </row>
    <row r="19" spans="1:14" ht="13.5" thickBot="1">
      <c r="A19" s="44" t="s">
        <v>22</v>
      </c>
      <c r="B19" s="40">
        <f t="shared" si="0"/>
        <v>0.5317822746456011</v>
      </c>
      <c r="C19" s="96">
        <f>SUM(C2:C18)</f>
        <v>70776</v>
      </c>
      <c r="D19" s="41">
        <f>SUM(D2:D18)</f>
        <v>46205</v>
      </c>
      <c r="E19" s="41">
        <f>SUM(E2:E18)</f>
        <v>61046</v>
      </c>
      <c r="F19" s="41">
        <f>SUM(F2:F18)</f>
        <v>67722</v>
      </c>
      <c r="G19" s="41">
        <f aca="true" t="shared" si="1" ref="G19:N19">SUM(G2:G18)</f>
        <v>65412</v>
      </c>
      <c r="H19" s="41">
        <f t="shared" si="1"/>
        <v>59359</v>
      </c>
      <c r="I19" s="41">
        <f t="shared" si="1"/>
        <v>67534</v>
      </c>
      <c r="J19" s="41">
        <f t="shared" si="1"/>
        <v>72914</v>
      </c>
      <c r="K19" s="41">
        <f t="shared" si="1"/>
        <v>67830</v>
      </c>
      <c r="L19" s="41">
        <f t="shared" si="1"/>
        <v>72477</v>
      </c>
      <c r="M19" s="41">
        <f t="shared" si="1"/>
        <v>64361</v>
      </c>
      <c r="N19" s="47">
        <f t="shared" si="1"/>
        <v>69371</v>
      </c>
    </row>
    <row r="20" spans="2:14" s="9" customFormat="1" ht="12.75">
      <c r="B20" s="43"/>
      <c r="C20" s="43"/>
      <c r="D20" s="43"/>
      <c r="E20" s="43"/>
      <c r="F20" s="12"/>
      <c r="G20" s="12"/>
      <c r="H20" s="12"/>
      <c r="I20" s="12"/>
      <c r="J20" s="12"/>
      <c r="K20" s="12"/>
      <c r="L20" s="12"/>
      <c r="M20" s="12"/>
      <c r="N20" s="159"/>
    </row>
    <row r="21" spans="2:14" s="9" customFormat="1" ht="13.5" thickBot="1">
      <c r="B21" s="43"/>
      <c r="C21" s="43"/>
      <c r="D21" s="43"/>
      <c r="E21" s="43"/>
      <c r="F21" s="12"/>
      <c r="G21" s="12"/>
      <c r="H21" s="12"/>
      <c r="I21" s="12"/>
      <c r="J21" s="12"/>
      <c r="K21" s="12"/>
      <c r="L21" s="12"/>
      <c r="M21" s="12"/>
      <c r="N21" s="159"/>
    </row>
    <row r="22" spans="1:14" s="16" customFormat="1" ht="13.5" thickBot="1">
      <c r="A22" s="30" t="s">
        <v>24</v>
      </c>
      <c r="B22" s="31" t="s">
        <v>188</v>
      </c>
      <c r="C22" s="151">
        <v>43405</v>
      </c>
      <c r="D22" s="99">
        <v>43040</v>
      </c>
      <c r="E22" s="32">
        <v>42675</v>
      </c>
      <c r="F22" s="32">
        <v>42309</v>
      </c>
      <c r="G22" s="32">
        <f>G1</f>
        <v>41944</v>
      </c>
      <c r="H22" s="32">
        <v>41579</v>
      </c>
      <c r="I22" s="32">
        <v>41214</v>
      </c>
      <c r="J22" s="32">
        <v>40848</v>
      </c>
      <c r="K22" s="32">
        <v>40483</v>
      </c>
      <c r="L22" s="32">
        <v>40118</v>
      </c>
      <c r="M22" s="32">
        <v>39753</v>
      </c>
      <c r="N22" s="33">
        <v>39387</v>
      </c>
    </row>
    <row r="23" spans="1:14" ht="12.75">
      <c r="A23" s="26" t="s">
        <v>117</v>
      </c>
      <c r="B23" s="34">
        <f aca="true" t="shared" si="2" ref="B23:B28">(C23-D23)/D23</f>
        <v>2.422565194252262</v>
      </c>
      <c r="C23" s="186">
        <f>6147+284</f>
        <v>6431</v>
      </c>
      <c r="D23" s="13">
        <v>1879</v>
      </c>
      <c r="E23" s="13">
        <v>3605</v>
      </c>
      <c r="F23" s="13">
        <v>4763</v>
      </c>
      <c r="G23" s="13">
        <v>5837</v>
      </c>
      <c r="H23" s="13">
        <v>4693</v>
      </c>
      <c r="I23" s="13">
        <v>3645</v>
      </c>
      <c r="J23" s="13">
        <v>5923</v>
      </c>
      <c r="K23" s="13">
        <v>3746</v>
      </c>
      <c r="L23" s="13">
        <v>5581</v>
      </c>
      <c r="M23" s="13">
        <v>2115</v>
      </c>
      <c r="N23" s="45">
        <v>5669</v>
      </c>
    </row>
    <row r="24" spans="1:14" ht="12.75">
      <c r="A24" s="26" t="s">
        <v>6</v>
      </c>
      <c r="B24" s="34">
        <f t="shared" si="2"/>
        <v>0.9682899207248018</v>
      </c>
      <c r="C24" s="186">
        <f>1634+104</f>
        <v>1738</v>
      </c>
      <c r="D24" s="13">
        <v>883</v>
      </c>
      <c r="E24" s="13">
        <v>2115</v>
      </c>
      <c r="F24" s="13">
        <v>1615</v>
      </c>
      <c r="G24" s="13">
        <v>2143</v>
      </c>
      <c r="H24" s="13">
        <v>1876</v>
      </c>
      <c r="I24" s="13">
        <v>1438</v>
      </c>
      <c r="J24" s="13">
        <v>3205</v>
      </c>
      <c r="K24" s="13">
        <v>1222</v>
      </c>
      <c r="L24" s="13">
        <v>2916</v>
      </c>
      <c r="M24" s="13">
        <v>1543</v>
      </c>
      <c r="N24" s="45">
        <v>3161</v>
      </c>
    </row>
    <row r="25" spans="1:14" ht="12.75">
      <c r="A25" s="26" t="s">
        <v>118</v>
      </c>
      <c r="B25" s="34">
        <f t="shared" si="2"/>
        <v>0.8923611111111112</v>
      </c>
      <c r="C25" s="186">
        <f>1843+337</f>
        <v>2180</v>
      </c>
      <c r="D25" s="13">
        <v>1152</v>
      </c>
      <c r="E25" s="13">
        <v>2336</v>
      </c>
      <c r="F25" s="13">
        <v>2358</v>
      </c>
      <c r="G25" s="13">
        <v>2531</v>
      </c>
      <c r="H25" s="13">
        <v>2543</v>
      </c>
      <c r="I25" s="13">
        <v>2188</v>
      </c>
      <c r="J25" s="13">
        <v>3386</v>
      </c>
      <c r="K25" s="13">
        <v>1792</v>
      </c>
      <c r="L25" s="13">
        <v>4135</v>
      </c>
      <c r="M25" s="13">
        <v>1088</v>
      </c>
      <c r="N25" s="45">
        <v>3950</v>
      </c>
    </row>
    <row r="26" spans="1:14" ht="12.75">
      <c r="A26" s="26" t="s">
        <v>174</v>
      </c>
      <c r="B26" s="34">
        <f t="shared" si="2"/>
        <v>867</v>
      </c>
      <c r="C26" s="186">
        <v>868</v>
      </c>
      <c r="D26" s="13">
        <v>1</v>
      </c>
      <c r="E26" s="13">
        <v>61</v>
      </c>
      <c r="F26" s="13">
        <v>227</v>
      </c>
      <c r="G26" s="13"/>
      <c r="H26" s="13"/>
      <c r="I26" s="13"/>
      <c r="J26" s="13"/>
      <c r="K26" s="13"/>
      <c r="L26" s="13"/>
      <c r="M26" s="13"/>
      <c r="N26" s="45"/>
    </row>
    <row r="27" spans="1:14" ht="13.5" thickBot="1">
      <c r="A27" s="37" t="s">
        <v>58</v>
      </c>
      <c r="B27" s="35">
        <f t="shared" si="2"/>
        <v>0.8920086393088553</v>
      </c>
      <c r="C27" s="187">
        <f>784+92</f>
        <v>876</v>
      </c>
      <c r="D27" s="15">
        <v>463</v>
      </c>
      <c r="E27" s="15">
        <v>545</v>
      </c>
      <c r="F27" s="15">
        <v>686</v>
      </c>
      <c r="G27" s="15">
        <v>768</v>
      </c>
      <c r="H27" s="15">
        <v>585</v>
      </c>
      <c r="I27" s="15">
        <v>412</v>
      </c>
      <c r="J27" s="15">
        <v>775</v>
      </c>
      <c r="K27" s="15">
        <v>504</v>
      </c>
      <c r="L27" s="15">
        <v>667</v>
      </c>
      <c r="M27" s="15">
        <v>421</v>
      </c>
      <c r="N27" s="46">
        <v>906</v>
      </c>
    </row>
    <row r="28" spans="1:14" ht="13.5" thickBot="1">
      <c r="A28" s="39" t="s">
        <v>22</v>
      </c>
      <c r="B28" s="40">
        <f t="shared" si="2"/>
        <v>1.762220191868433</v>
      </c>
      <c r="C28" s="96">
        <f>SUM(C23:C27)</f>
        <v>12093</v>
      </c>
      <c r="D28" s="41">
        <f>SUM(D23:D27)</f>
        <v>4378</v>
      </c>
      <c r="E28" s="41">
        <f aca="true" t="shared" si="3" ref="E28:N28">SUM(E23:E27)</f>
        <v>8662</v>
      </c>
      <c r="F28" s="41">
        <f t="shared" si="3"/>
        <v>9649</v>
      </c>
      <c r="G28" s="41">
        <f t="shared" si="3"/>
        <v>11279</v>
      </c>
      <c r="H28" s="41">
        <f t="shared" si="3"/>
        <v>9697</v>
      </c>
      <c r="I28" s="41">
        <f t="shared" si="3"/>
        <v>7683</v>
      </c>
      <c r="J28" s="41">
        <f t="shared" si="3"/>
        <v>13289</v>
      </c>
      <c r="K28" s="41">
        <f t="shared" si="3"/>
        <v>7264</v>
      </c>
      <c r="L28" s="41">
        <f t="shared" si="3"/>
        <v>13299</v>
      </c>
      <c r="M28" s="41">
        <f t="shared" si="3"/>
        <v>5167</v>
      </c>
      <c r="N28" s="47">
        <f t="shared" si="3"/>
        <v>13686</v>
      </c>
    </row>
    <row r="29" ht="12.75">
      <c r="A29" t="s">
        <v>175</v>
      </c>
    </row>
    <row r="34" spans="14:15" ht="17.25">
      <c r="N34" s="5"/>
      <c r="O34" s="1"/>
    </row>
    <row r="35" spans="14:15" ht="17.25">
      <c r="N35" s="5"/>
      <c r="O35" s="1"/>
    </row>
    <row r="36" spans="14:15" ht="17.25">
      <c r="N36" s="5"/>
      <c r="O36" s="1"/>
    </row>
    <row r="37" spans="14:15" ht="17.25">
      <c r="N37" s="5"/>
      <c r="O37" s="1"/>
    </row>
    <row r="38" spans="14:15" ht="17.25">
      <c r="N38" s="5"/>
      <c r="O38" s="1"/>
    </row>
    <row r="39" spans="14:15" ht="17.25">
      <c r="N39" s="5"/>
      <c r="O39" s="1"/>
    </row>
    <row r="40" spans="14:15" ht="17.25">
      <c r="N40" s="5"/>
      <c r="O40" s="1"/>
    </row>
    <row r="41" spans="14:15" ht="17.25">
      <c r="N41" s="5"/>
      <c r="O41" s="1"/>
    </row>
    <row r="42" spans="14:15" ht="17.25">
      <c r="N42" s="5"/>
      <c r="O42" s="1"/>
    </row>
    <row r="43" spans="14:15" ht="17.25">
      <c r="N43" s="5"/>
      <c r="O43" s="1"/>
    </row>
    <row r="44" spans="14:15" ht="17.25">
      <c r="N44" s="6"/>
      <c r="O44" s="1"/>
    </row>
    <row r="45" spans="14:15" ht="18">
      <c r="N45" s="7"/>
      <c r="O45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9.28125" style="0" customWidth="1"/>
    <col min="2" max="3" width="10.7109375" style="0" customWidth="1"/>
    <col min="4" max="4" width="10.7109375" style="9" customWidth="1"/>
    <col min="5" max="5" width="10.28125" style="0" customWidth="1"/>
    <col min="6" max="13" width="10.28125" style="16" customWidth="1"/>
    <col min="14" max="14" width="10.28125" style="0" customWidth="1"/>
  </cols>
  <sheetData>
    <row r="1" spans="1:14" s="16" customFormat="1" ht="13.5" thickBot="1">
      <c r="A1" s="30" t="s">
        <v>23</v>
      </c>
      <c r="B1" s="31" t="s">
        <v>188</v>
      </c>
      <c r="C1" s="151">
        <v>43405</v>
      </c>
      <c r="D1" s="99">
        <v>43040</v>
      </c>
      <c r="E1" s="32">
        <v>42675</v>
      </c>
      <c r="F1" s="32">
        <v>42309</v>
      </c>
      <c r="G1" s="32">
        <v>41944</v>
      </c>
      <c r="H1" s="32">
        <v>41579</v>
      </c>
      <c r="I1" s="32">
        <v>41214</v>
      </c>
      <c r="J1" s="32">
        <v>40848</v>
      </c>
      <c r="K1" s="32">
        <v>40483</v>
      </c>
      <c r="L1" s="32">
        <v>40118</v>
      </c>
      <c r="M1" s="32">
        <v>39753</v>
      </c>
      <c r="N1" s="33">
        <v>39387</v>
      </c>
    </row>
    <row r="2" spans="1:14" ht="12.75">
      <c r="A2" s="26" t="s">
        <v>3</v>
      </c>
      <c r="B2" s="34">
        <f aca="true" t="shared" si="0" ref="B2:B8">(C2-D2)/D2</f>
        <v>0.45799196787148594</v>
      </c>
      <c r="C2" s="108">
        <v>9076</v>
      </c>
      <c r="D2" s="75">
        <v>6225</v>
      </c>
      <c r="E2" s="13">
        <v>10849</v>
      </c>
      <c r="F2" s="13">
        <v>13746</v>
      </c>
      <c r="G2" s="13">
        <v>13183</v>
      </c>
      <c r="H2" s="1">
        <v>15139</v>
      </c>
      <c r="I2" s="13">
        <v>10000</v>
      </c>
      <c r="J2" s="13">
        <v>13000</v>
      </c>
      <c r="K2" s="13">
        <v>12000</v>
      </c>
      <c r="L2" s="13">
        <v>16000</v>
      </c>
      <c r="M2" s="13">
        <v>18000</v>
      </c>
      <c r="N2" s="45">
        <v>13000</v>
      </c>
    </row>
    <row r="3" spans="1:14" ht="12.75">
      <c r="A3" s="26" t="s">
        <v>1</v>
      </c>
      <c r="B3" s="34">
        <f t="shared" si="0"/>
        <v>0.1661663429277768</v>
      </c>
      <c r="C3" s="108">
        <v>79248</v>
      </c>
      <c r="D3" s="75">
        <v>67956</v>
      </c>
      <c r="E3" s="13">
        <v>98684</v>
      </c>
      <c r="F3" s="13">
        <v>103189</v>
      </c>
      <c r="G3" s="13">
        <v>99119</v>
      </c>
      <c r="H3" s="1">
        <v>96167</v>
      </c>
      <c r="I3" s="13">
        <v>83000</v>
      </c>
      <c r="J3" s="13">
        <v>110000</v>
      </c>
      <c r="K3" s="13">
        <v>90000</v>
      </c>
      <c r="L3" s="13">
        <v>130000</v>
      </c>
      <c r="M3" s="13">
        <v>110000</v>
      </c>
      <c r="N3" s="45">
        <v>110000</v>
      </c>
    </row>
    <row r="4" spans="1:14" ht="12.75">
      <c r="A4" s="26" t="s">
        <v>2</v>
      </c>
      <c r="B4" s="34">
        <f t="shared" si="0"/>
        <v>-0.17351880473982484</v>
      </c>
      <c r="C4" s="108">
        <v>8021</v>
      </c>
      <c r="D4" s="75">
        <v>9705</v>
      </c>
      <c r="E4" s="13">
        <v>11459</v>
      </c>
      <c r="F4" s="13">
        <v>15914</v>
      </c>
      <c r="G4" s="13">
        <v>18852</v>
      </c>
      <c r="H4" s="1">
        <v>23048</v>
      </c>
      <c r="I4" s="13">
        <v>20000</v>
      </c>
      <c r="J4" s="13">
        <v>20000</v>
      </c>
      <c r="K4" s="13">
        <v>17000</v>
      </c>
      <c r="L4" s="13">
        <v>17000</v>
      </c>
      <c r="M4" s="13">
        <v>21000</v>
      </c>
      <c r="N4" s="45">
        <v>21000</v>
      </c>
    </row>
    <row r="5" spans="1:14" ht="12.75">
      <c r="A5" s="28" t="s">
        <v>108</v>
      </c>
      <c r="B5" s="34">
        <f t="shared" si="0"/>
        <v>0.17257331033401285</v>
      </c>
      <c r="C5" s="108">
        <v>59820</v>
      </c>
      <c r="D5" s="75">
        <v>51016</v>
      </c>
      <c r="E5" s="13">
        <v>78331</v>
      </c>
      <c r="F5" s="97">
        <v>76103</v>
      </c>
      <c r="G5" s="97">
        <v>82131</v>
      </c>
      <c r="H5" s="1">
        <v>85062</v>
      </c>
      <c r="I5" s="97">
        <v>72000</v>
      </c>
      <c r="J5" s="97">
        <v>115000</v>
      </c>
      <c r="K5" s="97">
        <v>75000</v>
      </c>
      <c r="L5" s="97">
        <v>110000</v>
      </c>
      <c r="M5" s="97">
        <v>105000</v>
      </c>
      <c r="N5" s="45">
        <v>114000</v>
      </c>
    </row>
    <row r="6" spans="1:14" ht="12.75">
      <c r="A6" s="28" t="s">
        <v>124</v>
      </c>
      <c r="B6" s="34">
        <f t="shared" si="0"/>
        <v>0.5172896008136283</v>
      </c>
      <c r="C6" s="108">
        <v>35805</v>
      </c>
      <c r="D6" s="75">
        <v>23598</v>
      </c>
      <c r="E6" s="13">
        <v>30649</v>
      </c>
      <c r="F6" s="97">
        <v>30660</v>
      </c>
      <c r="G6" s="97">
        <v>29107</v>
      </c>
      <c r="H6" s="1">
        <v>26486</v>
      </c>
      <c r="I6" s="97"/>
      <c r="J6" s="97"/>
      <c r="K6" s="97"/>
      <c r="L6" s="97"/>
      <c r="M6" s="97"/>
      <c r="N6" s="45"/>
    </row>
    <row r="7" spans="1:14" ht="13.5" thickBot="1">
      <c r="A7" s="73" t="s">
        <v>58</v>
      </c>
      <c r="B7" s="35">
        <f t="shared" si="0"/>
        <v>0.20638820638820637</v>
      </c>
      <c r="C7" s="109">
        <v>10802</v>
      </c>
      <c r="D7" s="76">
        <v>8954</v>
      </c>
      <c r="E7" s="15">
        <v>9761</v>
      </c>
      <c r="F7" s="98">
        <v>8524</v>
      </c>
      <c r="G7" s="98">
        <v>10037</v>
      </c>
      <c r="H7" s="98">
        <v>9035</v>
      </c>
      <c r="I7" s="98">
        <v>48000</v>
      </c>
      <c r="J7" s="98">
        <v>50000</v>
      </c>
      <c r="K7" s="98">
        <v>47000</v>
      </c>
      <c r="L7" s="98">
        <v>35000</v>
      </c>
      <c r="M7" s="98">
        <v>28000</v>
      </c>
      <c r="N7" s="46">
        <v>20000</v>
      </c>
    </row>
    <row r="8" spans="1:14" ht="13.5" thickBot="1">
      <c r="A8" s="44" t="s">
        <v>22</v>
      </c>
      <c r="B8" s="40">
        <f t="shared" si="0"/>
        <v>0.2109116533495766</v>
      </c>
      <c r="C8" s="96">
        <f>SUM(C2:C7)</f>
        <v>202772</v>
      </c>
      <c r="D8" s="41">
        <f>SUM(D2:D7)</f>
        <v>167454</v>
      </c>
      <c r="E8" s="41">
        <f aca="true" t="shared" si="1" ref="E8:N8">SUM(E2:E7)</f>
        <v>239733</v>
      </c>
      <c r="F8" s="41">
        <f t="shared" si="1"/>
        <v>248136</v>
      </c>
      <c r="G8" s="41">
        <f t="shared" si="1"/>
        <v>252429</v>
      </c>
      <c r="H8" s="41">
        <f t="shared" si="1"/>
        <v>254937</v>
      </c>
      <c r="I8" s="41">
        <f t="shared" si="1"/>
        <v>233000</v>
      </c>
      <c r="J8" s="41">
        <f t="shared" si="1"/>
        <v>308000</v>
      </c>
      <c r="K8" s="41">
        <f t="shared" si="1"/>
        <v>241000</v>
      </c>
      <c r="L8" s="41">
        <f t="shared" si="1"/>
        <v>308000</v>
      </c>
      <c r="M8" s="41">
        <f t="shared" si="1"/>
        <v>282000</v>
      </c>
      <c r="N8" s="47">
        <f t="shared" si="1"/>
        <v>278000</v>
      </c>
    </row>
    <row r="9" spans="2:14" s="9" customFormat="1" ht="12.75">
      <c r="B9" s="43"/>
      <c r="C9" s="43"/>
      <c r="D9" s="43"/>
      <c r="E9" s="43"/>
      <c r="F9" s="12"/>
      <c r="G9" s="12"/>
      <c r="H9" s="12"/>
      <c r="I9" s="12"/>
      <c r="J9" s="12"/>
      <c r="K9" s="12"/>
      <c r="L9" s="12"/>
      <c r="M9" s="12"/>
      <c r="N9" s="159"/>
    </row>
    <row r="10" spans="2:14" s="9" customFormat="1" ht="13.5" thickBot="1">
      <c r="B10" s="43"/>
      <c r="C10" s="43"/>
      <c r="D10" s="43"/>
      <c r="E10" s="43"/>
      <c r="F10" s="12"/>
      <c r="G10" s="12"/>
      <c r="H10" s="12"/>
      <c r="I10" s="12"/>
      <c r="J10" s="12"/>
      <c r="K10" s="12"/>
      <c r="L10" s="12"/>
      <c r="M10" s="12"/>
      <c r="N10" s="159"/>
    </row>
    <row r="11" spans="1:14" s="16" customFormat="1" ht="13.5" thickBot="1">
      <c r="A11" s="30" t="s">
        <v>24</v>
      </c>
      <c r="B11" s="31" t="s">
        <v>188</v>
      </c>
      <c r="C11" s="151">
        <v>43405</v>
      </c>
      <c r="D11" s="99">
        <v>43040</v>
      </c>
      <c r="E11" s="32">
        <v>42675</v>
      </c>
      <c r="F11" s="32">
        <v>42309</v>
      </c>
      <c r="G11" s="32">
        <f>G1</f>
        <v>41944</v>
      </c>
      <c r="H11" s="32">
        <v>41579</v>
      </c>
      <c r="I11" s="32">
        <v>41214</v>
      </c>
      <c r="J11" s="32">
        <v>40848</v>
      </c>
      <c r="K11" s="32">
        <v>40483</v>
      </c>
      <c r="L11" s="32">
        <v>40118</v>
      </c>
      <c r="M11" s="32">
        <v>39753</v>
      </c>
      <c r="N11" s="33">
        <v>39387</v>
      </c>
    </row>
    <row r="12" spans="1:14" ht="12.75">
      <c r="A12" s="26" t="s">
        <v>6</v>
      </c>
      <c r="B12" s="34">
        <f>(C12-D12)/D12</f>
        <v>0.1454912529595695</v>
      </c>
      <c r="C12" s="108">
        <v>241420.3</v>
      </c>
      <c r="D12" s="13">
        <v>210757</v>
      </c>
      <c r="E12" s="13">
        <v>220638</v>
      </c>
      <c r="F12" s="13">
        <v>204424</v>
      </c>
      <c r="G12" s="13">
        <v>201758</v>
      </c>
      <c r="H12" s="13">
        <v>202277</v>
      </c>
      <c r="I12" s="13">
        <v>122000</v>
      </c>
      <c r="J12" s="13">
        <v>185000</v>
      </c>
      <c r="K12" s="13">
        <v>150000</v>
      </c>
      <c r="L12" s="13">
        <v>170000</v>
      </c>
      <c r="M12" s="13">
        <v>90000</v>
      </c>
      <c r="N12" s="45">
        <v>129000</v>
      </c>
    </row>
    <row r="13" spans="1:14" ht="12.75">
      <c r="A13" s="26" t="s">
        <v>101</v>
      </c>
      <c r="B13" s="34">
        <f>(C13-D13)/D13</f>
        <v>0.5319112780609963</v>
      </c>
      <c r="C13" s="108">
        <v>17128.3</v>
      </c>
      <c r="D13" s="13">
        <v>11181</v>
      </c>
      <c r="E13" s="13">
        <v>21323</v>
      </c>
      <c r="F13" s="13">
        <v>20028</v>
      </c>
      <c r="G13" s="13">
        <v>21374</v>
      </c>
      <c r="H13" s="13">
        <v>25104</v>
      </c>
      <c r="I13" s="13">
        <v>11000</v>
      </c>
      <c r="J13" s="13">
        <v>20000</v>
      </c>
      <c r="K13" s="13">
        <v>17000</v>
      </c>
      <c r="L13" s="13">
        <v>20000</v>
      </c>
      <c r="M13" s="13">
        <v>13000</v>
      </c>
      <c r="N13" s="45">
        <v>20000</v>
      </c>
    </row>
    <row r="14" spans="1:14" ht="13.5" thickBot="1">
      <c r="A14" s="37" t="s">
        <v>5</v>
      </c>
      <c r="B14" s="35">
        <f>(C14-D14)/D14</f>
        <v>0.8711074689768205</v>
      </c>
      <c r="C14" s="109">
        <v>31966</v>
      </c>
      <c r="D14" s="15">
        <v>17084</v>
      </c>
      <c r="E14" s="15">
        <v>27188</v>
      </c>
      <c r="F14" s="15">
        <v>27000</v>
      </c>
      <c r="G14" s="15">
        <v>27636</v>
      </c>
      <c r="H14" s="15">
        <v>21245</v>
      </c>
      <c r="I14" s="15">
        <v>12000</v>
      </c>
      <c r="J14" s="15">
        <v>21000</v>
      </c>
      <c r="K14" s="15">
        <v>20000</v>
      </c>
      <c r="L14" s="15">
        <v>20000</v>
      </c>
      <c r="M14" s="15">
        <v>9000</v>
      </c>
      <c r="N14" s="46">
        <v>13000</v>
      </c>
    </row>
    <row r="15" spans="1:14" ht="13.5" thickBot="1">
      <c r="A15" s="39" t="s">
        <v>22</v>
      </c>
      <c r="B15" s="40">
        <f>(C15-D15)/D15</f>
        <v>0.21543037879358376</v>
      </c>
      <c r="C15" s="96">
        <f>SUM(C12:C14)</f>
        <v>290514.6</v>
      </c>
      <c r="D15" s="41">
        <f>SUM(D12:D14)</f>
        <v>239022</v>
      </c>
      <c r="E15" s="41">
        <f aca="true" t="shared" si="2" ref="E15:N15">SUM(E12:E14)</f>
        <v>269149</v>
      </c>
      <c r="F15" s="41">
        <f t="shared" si="2"/>
        <v>251452</v>
      </c>
      <c r="G15" s="41">
        <f t="shared" si="2"/>
        <v>250768</v>
      </c>
      <c r="H15" s="41">
        <f t="shared" si="2"/>
        <v>248626</v>
      </c>
      <c r="I15" s="41">
        <f t="shared" si="2"/>
        <v>145000</v>
      </c>
      <c r="J15" s="41">
        <f t="shared" si="2"/>
        <v>226000</v>
      </c>
      <c r="K15" s="41">
        <f t="shared" si="2"/>
        <v>187000</v>
      </c>
      <c r="L15" s="41">
        <f t="shared" si="2"/>
        <v>210000</v>
      </c>
      <c r="M15" s="41">
        <f t="shared" si="2"/>
        <v>112000</v>
      </c>
      <c r="N15" s="47">
        <f t="shared" si="2"/>
        <v>162000</v>
      </c>
    </row>
    <row r="22" spans="14:15" ht="17.25">
      <c r="N22" s="5"/>
      <c r="O22" s="1"/>
    </row>
    <row r="23" spans="14:15" ht="17.25">
      <c r="N23" s="5"/>
      <c r="O23" s="1"/>
    </row>
    <row r="24" spans="14:15" ht="17.25">
      <c r="N24" s="5"/>
      <c r="O24" s="1"/>
    </row>
    <row r="25" spans="14:15" ht="17.25">
      <c r="N25" s="5"/>
      <c r="O25" s="1"/>
    </row>
    <row r="26" spans="14:15" ht="17.25">
      <c r="N26" s="5"/>
      <c r="O26" s="1"/>
    </row>
    <row r="27" spans="14:15" ht="17.25">
      <c r="N27" s="5"/>
      <c r="O27" s="1"/>
    </row>
    <row r="28" spans="14:15" ht="17.25">
      <c r="N28" s="5"/>
      <c r="O28" s="1"/>
    </row>
    <row r="29" spans="14:15" ht="17.25">
      <c r="N29" s="5"/>
      <c r="O29" s="1"/>
    </row>
    <row r="30" spans="14:15" ht="17.25">
      <c r="N30" s="5"/>
      <c r="O30" s="1"/>
    </row>
    <row r="31" spans="14:15" ht="17.25">
      <c r="N31" s="5"/>
      <c r="O31" s="1"/>
    </row>
    <row r="32" spans="14:15" ht="17.25">
      <c r="N32" s="6"/>
      <c r="O32" s="1"/>
    </row>
    <row r="33" spans="14:15" ht="18">
      <c r="N33" s="7"/>
      <c r="O33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4.7109375" style="0" customWidth="1"/>
    <col min="2" max="3" width="10.7109375" style="0" customWidth="1"/>
    <col min="4" max="4" width="10.7109375" style="9" customWidth="1"/>
    <col min="5" max="14" width="10.28125" style="0" customWidth="1"/>
  </cols>
  <sheetData>
    <row r="1" spans="1:14" ht="13.5" thickBot="1">
      <c r="A1" s="30" t="s">
        <v>91</v>
      </c>
      <c r="B1" s="31" t="s">
        <v>188</v>
      </c>
      <c r="C1" s="151">
        <v>43405</v>
      </c>
      <c r="D1" s="99">
        <v>43040</v>
      </c>
      <c r="E1" s="32">
        <v>42675</v>
      </c>
      <c r="F1" s="32">
        <v>42309</v>
      </c>
      <c r="G1" s="32">
        <v>41944</v>
      </c>
      <c r="H1" s="32">
        <v>41579</v>
      </c>
      <c r="I1" s="32">
        <v>41214</v>
      </c>
      <c r="J1" s="32">
        <v>40848</v>
      </c>
      <c r="K1" s="32">
        <v>40483</v>
      </c>
      <c r="L1" s="32">
        <v>40118</v>
      </c>
      <c r="M1" s="32">
        <v>39753</v>
      </c>
      <c r="N1" s="33">
        <v>39387</v>
      </c>
    </row>
    <row r="2" spans="1:14" ht="12.75">
      <c r="A2" s="52" t="s">
        <v>10</v>
      </c>
      <c r="B2" s="56">
        <f aca="true" t="shared" si="0" ref="B2:B12">(C2-D2)/D2</f>
        <v>-1</v>
      </c>
      <c r="C2" s="104"/>
      <c r="D2" s="75">
        <v>9836</v>
      </c>
      <c r="E2" s="75"/>
      <c r="F2" s="75">
        <v>30500</v>
      </c>
      <c r="G2" s="75">
        <v>27000</v>
      </c>
      <c r="H2" s="75"/>
      <c r="I2" s="75"/>
      <c r="J2" s="75"/>
      <c r="K2" s="75">
        <v>12000</v>
      </c>
      <c r="L2" s="75">
        <v>18500</v>
      </c>
      <c r="M2" s="75">
        <v>9000</v>
      </c>
      <c r="N2" s="69">
        <v>8000</v>
      </c>
    </row>
    <row r="3" spans="1:14" ht="12.75">
      <c r="A3" s="52" t="s">
        <v>35</v>
      </c>
      <c r="B3" s="56">
        <f t="shared" si="0"/>
        <v>-1</v>
      </c>
      <c r="C3" s="104"/>
      <c r="D3" s="75">
        <v>46060</v>
      </c>
      <c r="E3" s="75"/>
      <c r="F3" s="75">
        <v>49000</v>
      </c>
      <c r="G3" s="75">
        <v>71000</v>
      </c>
      <c r="H3" s="75"/>
      <c r="I3" s="75"/>
      <c r="J3" s="75"/>
      <c r="K3" s="75">
        <v>94000</v>
      </c>
      <c r="L3" s="75">
        <v>72000</v>
      </c>
      <c r="M3" s="75">
        <v>64000</v>
      </c>
      <c r="N3" s="69">
        <v>65000</v>
      </c>
    </row>
    <row r="4" spans="1:14" ht="12.75">
      <c r="A4" s="52" t="s">
        <v>28</v>
      </c>
      <c r="B4" s="56"/>
      <c r="C4" s="104"/>
      <c r="D4" s="75"/>
      <c r="E4" s="75"/>
      <c r="F4" s="75">
        <v>2000</v>
      </c>
      <c r="G4" s="75"/>
      <c r="H4" s="75"/>
      <c r="I4" s="75"/>
      <c r="J4" s="75"/>
      <c r="K4" s="75"/>
      <c r="L4" s="75">
        <v>1500</v>
      </c>
      <c r="M4" s="75">
        <v>1500</v>
      </c>
      <c r="N4" s="69"/>
    </row>
    <row r="5" spans="1:14" ht="12.75">
      <c r="A5" s="52" t="s">
        <v>4</v>
      </c>
      <c r="B5" s="56">
        <f t="shared" si="0"/>
        <v>-1</v>
      </c>
      <c r="C5" s="104"/>
      <c r="D5" s="75">
        <v>20940</v>
      </c>
      <c r="E5" s="75"/>
      <c r="F5" s="75">
        <v>22500</v>
      </c>
      <c r="G5" s="75">
        <v>18000</v>
      </c>
      <c r="H5" s="75"/>
      <c r="I5" s="75"/>
      <c r="J5" s="75"/>
      <c r="K5" s="75">
        <v>35000</v>
      </c>
      <c r="L5" s="75">
        <v>32000</v>
      </c>
      <c r="M5" s="75">
        <v>33000</v>
      </c>
      <c r="N5" s="69">
        <v>35000</v>
      </c>
    </row>
    <row r="6" spans="1:14" ht="12.75">
      <c r="A6" s="52" t="s">
        <v>8</v>
      </c>
      <c r="B6" s="56">
        <f t="shared" si="0"/>
        <v>-1</v>
      </c>
      <c r="C6" s="104"/>
      <c r="D6" s="75">
        <v>48213</v>
      </c>
      <c r="E6" s="75"/>
      <c r="F6" s="75">
        <v>51000</v>
      </c>
      <c r="G6" s="75">
        <v>42000</v>
      </c>
      <c r="H6" s="75"/>
      <c r="I6" s="75"/>
      <c r="J6" s="75"/>
      <c r="K6" s="75">
        <v>33000</v>
      </c>
      <c r="L6" s="75">
        <v>23000</v>
      </c>
      <c r="M6" s="75">
        <v>21000</v>
      </c>
      <c r="N6" s="69">
        <v>18100</v>
      </c>
    </row>
    <row r="7" spans="1:15" ht="12.75">
      <c r="A7" s="52" t="s">
        <v>181</v>
      </c>
      <c r="B7" s="56">
        <f t="shared" si="0"/>
        <v>-1</v>
      </c>
      <c r="C7" s="104"/>
      <c r="D7" s="75">
        <v>5243</v>
      </c>
      <c r="E7" s="75"/>
      <c r="F7" s="75">
        <v>1000</v>
      </c>
      <c r="G7" s="75">
        <v>1000</v>
      </c>
      <c r="H7" s="75"/>
      <c r="I7" s="75"/>
      <c r="J7" s="75"/>
      <c r="K7" s="75">
        <v>3000</v>
      </c>
      <c r="L7" s="75">
        <v>2000</v>
      </c>
      <c r="M7" s="75">
        <v>3000</v>
      </c>
      <c r="N7" s="69">
        <v>8000</v>
      </c>
      <c r="O7" s="1"/>
    </row>
    <row r="8" spans="1:14" ht="12.75">
      <c r="A8" s="52" t="s">
        <v>25</v>
      </c>
      <c r="B8" s="56"/>
      <c r="C8" s="104"/>
      <c r="D8" s="75"/>
      <c r="E8" s="75"/>
      <c r="F8" s="75">
        <v>9000</v>
      </c>
      <c r="G8" s="75">
        <v>8000</v>
      </c>
      <c r="H8" s="75"/>
      <c r="I8" s="75"/>
      <c r="J8" s="75"/>
      <c r="K8" s="75">
        <v>7000</v>
      </c>
      <c r="L8" s="75">
        <v>6000</v>
      </c>
      <c r="M8" s="75">
        <v>5000</v>
      </c>
      <c r="N8" s="69"/>
    </row>
    <row r="9" spans="1:14" ht="12.75">
      <c r="A9" s="52" t="s">
        <v>34</v>
      </c>
      <c r="B9" s="56"/>
      <c r="C9" s="104"/>
      <c r="D9" s="75"/>
      <c r="E9" s="75"/>
      <c r="F9" s="75">
        <v>1000</v>
      </c>
      <c r="G9" s="75">
        <v>0</v>
      </c>
      <c r="H9" s="75"/>
      <c r="I9" s="75"/>
      <c r="J9" s="75"/>
      <c r="K9" s="75">
        <v>2000</v>
      </c>
      <c r="L9" s="75">
        <v>500</v>
      </c>
      <c r="M9" s="75">
        <v>500</v>
      </c>
      <c r="N9" s="69"/>
    </row>
    <row r="10" spans="1:14" ht="12.75">
      <c r="A10" s="52" t="s">
        <v>134</v>
      </c>
      <c r="B10" s="56"/>
      <c r="C10" s="104"/>
      <c r="D10" s="75"/>
      <c r="E10" s="75"/>
      <c r="F10" s="75">
        <v>13500</v>
      </c>
      <c r="G10" s="75">
        <v>11000</v>
      </c>
      <c r="H10" s="75"/>
      <c r="I10" s="75"/>
      <c r="J10" s="75"/>
      <c r="K10" s="75">
        <v>9000</v>
      </c>
      <c r="L10" s="75">
        <v>7500</v>
      </c>
      <c r="M10" s="75"/>
      <c r="N10" s="69"/>
    </row>
    <row r="11" spans="1:14" ht="13.5" thickBot="1">
      <c r="A11" s="53" t="s">
        <v>5</v>
      </c>
      <c r="B11" s="57"/>
      <c r="C11" s="152"/>
      <c r="D11" s="76"/>
      <c r="E11" s="76"/>
      <c r="F11" s="76">
        <v>4500</v>
      </c>
      <c r="G11" s="76">
        <v>9000</v>
      </c>
      <c r="H11" s="76"/>
      <c r="I11" s="76"/>
      <c r="J11" s="76"/>
      <c r="K11" s="76">
        <v>10000</v>
      </c>
      <c r="L11" s="76">
        <v>9000</v>
      </c>
      <c r="M11" s="76">
        <v>9500</v>
      </c>
      <c r="N11" s="70">
        <v>8300</v>
      </c>
    </row>
    <row r="12" spans="1:14" ht="13.5" thickBot="1">
      <c r="A12" s="39" t="s">
        <v>92</v>
      </c>
      <c r="B12" s="40">
        <f t="shared" si="0"/>
        <v>-1</v>
      </c>
      <c r="C12" s="153"/>
      <c r="D12" s="41">
        <f>SUM(D2:D11)</f>
        <v>130292</v>
      </c>
      <c r="E12" s="84"/>
      <c r="F12" s="84">
        <f>SUM(F2:F11)</f>
        <v>184000</v>
      </c>
      <c r="G12" s="84">
        <f>SUM(G2:G11)</f>
        <v>187000</v>
      </c>
      <c r="H12" s="84"/>
      <c r="I12" s="84"/>
      <c r="J12" s="84"/>
      <c r="K12" s="84">
        <f>SUM(K2:K11)</f>
        <v>205000</v>
      </c>
      <c r="L12" s="84">
        <f>SUM(L2:L11)</f>
        <v>172000</v>
      </c>
      <c r="M12" s="84">
        <f>SUM(M2:M11)</f>
        <v>146500</v>
      </c>
      <c r="N12" s="156">
        <f>SUM(N2:N11)</f>
        <v>142400</v>
      </c>
    </row>
    <row r="13" spans="1:14" ht="12.75">
      <c r="A13" s="168" t="s">
        <v>182</v>
      </c>
      <c r="F13" s="9"/>
      <c r="G13" s="9"/>
      <c r="H13" s="9"/>
      <c r="I13" s="9"/>
      <c r="J13" s="9"/>
      <c r="K13" s="9"/>
      <c r="L13" s="9"/>
      <c r="M13" s="9"/>
      <c r="N13" s="157"/>
    </row>
    <row r="14" spans="2:14" ht="13.5" thickBot="1">
      <c r="B14" s="3"/>
      <c r="C14" s="3"/>
      <c r="D14" s="85"/>
      <c r="E14" s="3"/>
      <c r="F14" s="85"/>
      <c r="G14" s="85"/>
      <c r="H14" s="85"/>
      <c r="I14" s="85"/>
      <c r="J14" s="85"/>
      <c r="K14" s="85"/>
      <c r="L14" s="85"/>
      <c r="M14" s="85"/>
      <c r="N14" s="158"/>
    </row>
    <row r="15" spans="1:14" s="61" customFormat="1" ht="13.5" thickBot="1">
      <c r="A15" s="59" t="s">
        <v>91</v>
      </c>
      <c r="B15" s="31" t="s">
        <v>188</v>
      </c>
      <c r="C15" s="151">
        <v>43405</v>
      </c>
      <c r="D15" s="99">
        <v>43040</v>
      </c>
      <c r="E15" s="32">
        <v>42675</v>
      </c>
      <c r="F15" s="32">
        <v>42309</v>
      </c>
      <c r="G15" s="32">
        <f>G1</f>
        <v>41944</v>
      </c>
      <c r="H15" s="32">
        <v>41579</v>
      </c>
      <c r="I15" s="32">
        <v>41214</v>
      </c>
      <c r="J15" s="32">
        <v>40848</v>
      </c>
      <c r="K15" s="32">
        <v>40483</v>
      </c>
      <c r="L15" s="32">
        <v>40118</v>
      </c>
      <c r="M15" s="32">
        <v>39753</v>
      </c>
      <c r="N15" s="33">
        <v>39387</v>
      </c>
    </row>
    <row r="16" spans="1:14" s="58" customFormat="1" ht="12.75">
      <c r="A16" s="62" t="s">
        <v>6</v>
      </c>
      <c r="B16" s="63">
        <f>(C16-D16)/D16</f>
        <v>-1</v>
      </c>
      <c r="C16" s="154"/>
      <c r="D16" s="80">
        <v>17216</v>
      </c>
      <c r="E16" s="80"/>
      <c r="F16" s="80">
        <v>19000</v>
      </c>
      <c r="G16" s="80">
        <v>15000</v>
      </c>
      <c r="H16" s="80"/>
      <c r="I16" s="80"/>
      <c r="J16" s="80"/>
      <c r="K16" s="80">
        <v>25000</v>
      </c>
      <c r="L16" s="80">
        <v>20500</v>
      </c>
      <c r="M16" s="80">
        <v>18000</v>
      </c>
      <c r="N16" s="71">
        <v>17200</v>
      </c>
    </row>
    <row r="17" spans="1:14" s="58" customFormat="1" ht="12.75">
      <c r="A17" s="62" t="s">
        <v>93</v>
      </c>
      <c r="B17" s="63">
        <f>(C17-D17)/D17</f>
        <v>-1</v>
      </c>
      <c r="C17" s="154"/>
      <c r="D17" s="80">
        <v>482</v>
      </c>
      <c r="E17" s="80"/>
      <c r="F17" s="80">
        <v>1500</v>
      </c>
      <c r="G17" s="80">
        <v>2000</v>
      </c>
      <c r="H17" s="80"/>
      <c r="I17" s="80"/>
      <c r="J17" s="80"/>
      <c r="K17" s="80">
        <v>2000</v>
      </c>
      <c r="L17" s="80">
        <v>1500</v>
      </c>
      <c r="M17" s="80">
        <v>1500</v>
      </c>
      <c r="N17" s="71">
        <v>1900</v>
      </c>
    </row>
    <row r="18" spans="1:14" s="58" customFormat="1" ht="13.5" thickBot="1">
      <c r="A18" s="64" t="s">
        <v>5</v>
      </c>
      <c r="B18" s="65"/>
      <c r="C18" s="155"/>
      <c r="D18" s="81"/>
      <c r="E18" s="81"/>
      <c r="F18" s="81">
        <v>2000</v>
      </c>
      <c r="G18" s="81">
        <v>1000</v>
      </c>
      <c r="H18" s="81"/>
      <c r="I18" s="81"/>
      <c r="J18" s="81"/>
      <c r="K18" s="81">
        <v>2500</v>
      </c>
      <c r="L18" s="81">
        <v>1200</v>
      </c>
      <c r="M18" s="81">
        <v>300</v>
      </c>
      <c r="N18" s="72">
        <v>1700</v>
      </c>
    </row>
    <row r="19" spans="1:14" s="58" customFormat="1" ht="13.5" thickBot="1">
      <c r="A19" s="67" t="s">
        <v>92</v>
      </c>
      <c r="B19" s="116">
        <f>(C19-D19)/D19</f>
        <v>-1</v>
      </c>
      <c r="C19" s="185"/>
      <c r="D19" s="174">
        <f>SUM(D16:D18)</f>
        <v>17698</v>
      </c>
      <c r="E19" s="86"/>
      <c r="F19" s="86">
        <f>SUM(F16:F18)</f>
        <v>22500</v>
      </c>
      <c r="G19" s="86">
        <f>SUM(G16:G18)</f>
        <v>18000</v>
      </c>
      <c r="H19" s="86"/>
      <c r="I19" s="86"/>
      <c r="J19" s="86"/>
      <c r="K19" s="86">
        <f>SUM(K16:K18)</f>
        <v>29500</v>
      </c>
      <c r="L19" s="86">
        <f>SUM(L16:L18)</f>
        <v>23200</v>
      </c>
      <c r="M19" s="86">
        <f>SUM(M16:M18)</f>
        <v>19800</v>
      </c>
      <c r="N19" s="93">
        <f>SUM(N16:N18)</f>
        <v>20800</v>
      </c>
    </row>
    <row r="20" s="58" customFormat="1" ht="12.75">
      <c r="D20" s="166"/>
    </row>
    <row r="21" spans="1:4" s="58" customFormat="1" ht="12.75">
      <c r="A21" s="61"/>
      <c r="D21" s="166"/>
    </row>
    <row r="22" s="58" customFormat="1" ht="12.75">
      <c r="D22" s="166"/>
    </row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25.421875" style="0" customWidth="1"/>
    <col min="2" max="5" width="10.7109375" style="0" customWidth="1"/>
    <col min="6" max="13" width="10.7109375" style="16" customWidth="1"/>
    <col min="14" max="14" width="10.7109375" style="0" customWidth="1"/>
  </cols>
  <sheetData>
    <row r="1" spans="1:14" s="16" customFormat="1" ht="13.5" thickBot="1">
      <c r="A1" s="30" t="s">
        <v>23</v>
      </c>
      <c r="B1" s="31" t="s">
        <v>188</v>
      </c>
      <c r="C1" s="151">
        <v>43405</v>
      </c>
      <c r="D1" s="99">
        <v>43040</v>
      </c>
      <c r="E1" s="32">
        <v>42675</v>
      </c>
      <c r="F1" s="32">
        <v>42309</v>
      </c>
      <c r="G1" s="32">
        <v>41944</v>
      </c>
      <c r="H1" s="32">
        <v>41579</v>
      </c>
      <c r="I1" s="32">
        <v>41214</v>
      </c>
      <c r="J1" s="32">
        <v>40848</v>
      </c>
      <c r="K1" s="32">
        <v>40483</v>
      </c>
      <c r="L1" s="32">
        <v>40118</v>
      </c>
      <c r="M1" s="32">
        <v>39753</v>
      </c>
      <c r="N1" s="48">
        <v>39387</v>
      </c>
    </row>
    <row r="2" spans="1:14" ht="12.75">
      <c r="A2" s="26" t="s">
        <v>10</v>
      </c>
      <c r="B2" s="34">
        <f aca="true" t="shared" si="0" ref="B2:B26">(C2-D2)/D2</f>
        <v>-0.18519844517184944</v>
      </c>
      <c r="C2" s="186">
        <v>15931</v>
      </c>
      <c r="D2" s="13">
        <v>19552</v>
      </c>
      <c r="E2" s="13">
        <v>24087</v>
      </c>
      <c r="F2" s="13">
        <v>25593</v>
      </c>
      <c r="G2" s="13">
        <v>43620</v>
      </c>
      <c r="H2" s="13">
        <v>29480</v>
      </c>
      <c r="I2" s="13">
        <v>39466</v>
      </c>
      <c r="J2" s="13">
        <v>47279</v>
      </c>
      <c r="K2" s="13">
        <v>54157.89473684211</v>
      </c>
      <c r="L2" s="13">
        <v>51623.41197822142</v>
      </c>
      <c r="M2" s="13">
        <v>61056.2613430127</v>
      </c>
      <c r="N2" s="45">
        <v>62599.81851179673</v>
      </c>
    </row>
    <row r="3" spans="1:14" ht="12.75">
      <c r="A3" s="26" t="s">
        <v>32</v>
      </c>
      <c r="B3" s="56">
        <f t="shared" si="0"/>
        <v>0.05505839526770818</v>
      </c>
      <c r="C3" s="108">
        <v>6956</v>
      </c>
      <c r="D3" s="75">
        <v>6593</v>
      </c>
      <c r="E3" s="13">
        <v>6574</v>
      </c>
      <c r="F3" s="13">
        <v>10119</v>
      </c>
      <c r="G3" s="13">
        <v>9185</v>
      </c>
      <c r="H3" s="13">
        <v>10957</v>
      </c>
      <c r="I3" s="13">
        <v>3754</v>
      </c>
      <c r="J3" s="13">
        <v>7584</v>
      </c>
      <c r="K3" s="13">
        <v>8518</v>
      </c>
      <c r="L3" s="13">
        <v>9509.074410163339</v>
      </c>
      <c r="M3" s="13">
        <v>9985.480943738658</v>
      </c>
      <c r="N3" s="45">
        <v>10195.099818511797</v>
      </c>
    </row>
    <row r="4" spans="1:14" ht="12.75">
      <c r="A4" s="26" t="s">
        <v>48</v>
      </c>
      <c r="B4" s="34">
        <f t="shared" si="0"/>
        <v>0.12957620715708495</v>
      </c>
      <c r="C4" s="186">
        <v>32891</v>
      </c>
      <c r="D4" s="13">
        <v>29118</v>
      </c>
      <c r="E4" s="13">
        <v>27975</v>
      </c>
      <c r="F4" s="13">
        <v>35426</v>
      </c>
      <c r="G4" s="13">
        <v>39656</v>
      </c>
      <c r="H4" s="13">
        <v>39847</v>
      </c>
      <c r="I4" s="13">
        <v>11319</v>
      </c>
      <c r="J4" s="13">
        <v>38475</v>
      </c>
      <c r="K4" s="13">
        <v>36683</v>
      </c>
      <c r="L4" s="13">
        <v>44210.52631578947</v>
      </c>
      <c r="M4" s="13">
        <v>37254.99092558984</v>
      </c>
      <c r="N4" s="45">
        <v>47526.31578947369</v>
      </c>
    </row>
    <row r="5" spans="1:14" ht="12.75">
      <c r="A5" s="26" t="s">
        <v>11</v>
      </c>
      <c r="B5" s="34">
        <f t="shared" si="0"/>
        <v>-0.06273962017416114</v>
      </c>
      <c r="C5" s="186">
        <v>283824</v>
      </c>
      <c r="D5" s="13">
        <v>302823</v>
      </c>
      <c r="E5" s="13">
        <v>281194</v>
      </c>
      <c r="F5" s="13">
        <v>250399</v>
      </c>
      <c r="G5" s="13">
        <v>330721</v>
      </c>
      <c r="H5" s="13">
        <v>251524</v>
      </c>
      <c r="I5" s="13">
        <v>295201</v>
      </c>
      <c r="J5" s="13">
        <v>225607</v>
      </c>
      <c r="K5" s="13">
        <v>238108</v>
      </c>
      <c r="L5" s="13">
        <v>221319.41923774953</v>
      </c>
      <c r="M5" s="13">
        <v>262061.70598911072</v>
      </c>
      <c r="N5" s="45">
        <v>201596.1887477314</v>
      </c>
    </row>
    <row r="6" spans="1:14" ht="12.75">
      <c r="A6" s="26" t="s">
        <v>8</v>
      </c>
      <c r="B6" s="34">
        <f t="shared" si="0"/>
        <v>-0.15048339869712454</v>
      </c>
      <c r="C6" s="186">
        <v>463334</v>
      </c>
      <c r="D6" s="13">
        <v>545409</v>
      </c>
      <c r="E6" s="13">
        <v>494643</v>
      </c>
      <c r="F6" s="13">
        <v>389796</v>
      </c>
      <c r="G6" s="13">
        <v>496549</v>
      </c>
      <c r="H6" s="13">
        <v>411005</v>
      </c>
      <c r="I6" s="13">
        <v>392597</v>
      </c>
      <c r="J6" s="13">
        <v>343299</v>
      </c>
      <c r="K6" s="13">
        <v>327920</v>
      </c>
      <c r="L6" s="13">
        <v>304900.1814882033</v>
      </c>
      <c r="M6" s="13">
        <v>299107.0780399274</v>
      </c>
      <c r="N6" s="45">
        <v>272085.29945553537</v>
      </c>
    </row>
    <row r="7" spans="1:14" ht="12.75">
      <c r="A7" s="26" t="s">
        <v>2</v>
      </c>
      <c r="B7" s="34">
        <f t="shared" si="0"/>
        <v>-0.3486685249985173</v>
      </c>
      <c r="C7" s="186">
        <v>109821</v>
      </c>
      <c r="D7" s="13">
        <v>168610</v>
      </c>
      <c r="E7" s="13">
        <v>155594</v>
      </c>
      <c r="F7" s="13">
        <v>173755</v>
      </c>
      <c r="G7" s="13">
        <v>262005</v>
      </c>
      <c r="H7" s="13">
        <v>206799</v>
      </c>
      <c r="I7" s="13">
        <v>235326</v>
      </c>
      <c r="J7" s="13">
        <v>214497</v>
      </c>
      <c r="K7" s="13">
        <v>230257</v>
      </c>
      <c r="L7" s="13">
        <v>260632.48638838474</v>
      </c>
      <c r="M7" s="13">
        <v>292475.499092559</v>
      </c>
      <c r="N7" s="45">
        <v>229513.611615245</v>
      </c>
    </row>
    <row r="8" spans="1:14" ht="12.75">
      <c r="A8" s="26" t="s">
        <v>16</v>
      </c>
      <c r="B8" s="34">
        <f t="shared" si="0"/>
        <v>-0.2731938927704828</v>
      </c>
      <c r="C8" s="186">
        <v>228542</v>
      </c>
      <c r="D8" s="13">
        <v>314447</v>
      </c>
      <c r="E8" s="13">
        <v>262309</v>
      </c>
      <c r="F8" s="13">
        <v>299183</v>
      </c>
      <c r="G8" s="13">
        <v>287807</v>
      </c>
      <c r="H8" s="13">
        <v>273572</v>
      </c>
      <c r="I8" s="13">
        <v>218671</v>
      </c>
      <c r="J8" s="13">
        <v>221453</v>
      </c>
      <c r="K8" s="13">
        <v>226179</v>
      </c>
      <c r="L8" s="13">
        <v>256325.7713248639</v>
      </c>
      <c r="M8" s="13">
        <v>296972.77676951</v>
      </c>
      <c r="N8" s="45">
        <v>228198.72958257713</v>
      </c>
    </row>
    <row r="9" spans="1:14" ht="12.75">
      <c r="A9" s="26" t="s">
        <v>171</v>
      </c>
      <c r="B9" s="34">
        <f t="shared" si="0"/>
        <v>0.05536682758209667</v>
      </c>
      <c r="C9" s="186">
        <v>212496</v>
      </c>
      <c r="D9" s="13">
        <v>201348</v>
      </c>
      <c r="E9" s="13">
        <v>134518</v>
      </c>
      <c r="F9" s="13">
        <v>104771</v>
      </c>
      <c r="G9" s="13">
        <v>101951</v>
      </c>
      <c r="H9" s="13">
        <v>70184</v>
      </c>
      <c r="I9" s="13"/>
      <c r="J9" s="13"/>
      <c r="K9" s="13"/>
      <c r="L9" s="13"/>
      <c r="M9" s="13"/>
      <c r="N9" s="45"/>
    </row>
    <row r="10" spans="1:14" ht="12.75">
      <c r="A10" s="27" t="s">
        <v>9</v>
      </c>
      <c r="B10" s="34">
        <f t="shared" si="0"/>
        <v>0.1362862010221465</v>
      </c>
      <c r="C10" s="186">
        <v>3335</v>
      </c>
      <c r="D10" s="13">
        <v>2935</v>
      </c>
      <c r="E10" s="13">
        <v>6003</v>
      </c>
      <c r="F10" s="97">
        <v>6765</v>
      </c>
      <c r="G10" s="97">
        <v>7432</v>
      </c>
      <c r="H10" s="97">
        <v>11262</v>
      </c>
      <c r="I10" s="97">
        <v>1525</v>
      </c>
      <c r="J10" s="97">
        <v>8213</v>
      </c>
      <c r="K10" s="97">
        <v>6841.197822141561</v>
      </c>
      <c r="L10" s="97">
        <v>9299.4555353902</v>
      </c>
      <c r="M10" s="97">
        <v>11757.713248638838</v>
      </c>
      <c r="N10" s="45">
        <v>9833.030852994556</v>
      </c>
    </row>
    <row r="11" spans="1:14" ht="12.75">
      <c r="A11" s="27" t="s">
        <v>26</v>
      </c>
      <c r="B11" s="34">
        <f t="shared" si="0"/>
        <v>-0.28794010522055846</v>
      </c>
      <c r="C11" s="186">
        <v>10557</v>
      </c>
      <c r="D11" s="13">
        <v>14826</v>
      </c>
      <c r="E11" s="13">
        <v>19761</v>
      </c>
      <c r="F11" s="97">
        <v>18580</v>
      </c>
      <c r="G11" s="97">
        <v>29156</v>
      </c>
      <c r="H11" s="97">
        <v>28032</v>
      </c>
      <c r="I11" s="97">
        <v>17837</v>
      </c>
      <c r="J11" s="97">
        <v>23153</v>
      </c>
      <c r="K11" s="97">
        <v>25593</v>
      </c>
      <c r="L11" s="97">
        <v>30318.51179673321</v>
      </c>
      <c r="M11" s="97">
        <v>29918.330308529945</v>
      </c>
      <c r="N11" s="45">
        <v>21514.519056261342</v>
      </c>
    </row>
    <row r="12" spans="1:14" ht="12.75">
      <c r="A12" s="27" t="s">
        <v>49</v>
      </c>
      <c r="B12" s="34">
        <f t="shared" si="0"/>
        <v>0.579321231254933</v>
      </c>
      <c r="C12" s="186">
        <v>4002</v>
      </c>
      <c r="D12" s="13">
        <v>2534</v>
      </c>
      <c r="E12" s="13">
        <v>6632</v>
      </c>
      <c r="F12" s="97">
        <v>7299</v>
      </c>
      <c r="G12" s="97">
        <v>7165</v>
      </c>
      <c r="H12" s="97">
        <v>9052</v>
      </c>
      <c r="I12" s="97">
        <v>629</v>
      </c>
      <c r="J12" s="97">
        <v>9357</v>
      </c>
      <c r="K12" s="97">
        <v>8194</v>
      </c>
      <c r="L12" s="97">
        <v>15378.402903811253</v>
      </c>
      <c r="M12" s="97">
        <v>8194.192377495463</v>
      </c>
      <c r="N12" s="45">
        <v>5697.822141560799</v>
      </c>
    </row>
    <row r="13" spans="1:14" ht="12.75">
      <c r="A13" s="27" t="s">
        <v>50</v>
      </c>
      <c r="B13" s="34">
        <f t="shared" si="0"/>
        <v>-0.09583262314641214</v>
      </c>
      <c r="C13" s="186">
        <v>42438</v>
      </c>
      <c r="D13" s="13">
        <v>46936</v>
      </c>
      <c r="E13" s="13">
        <v>40209</v>
      </c>
      <c r="F13" s="97">
        <v>56502</v>
      </c>
      <c r="G13" s="97">
        <v>51814</v>
      </c>
      <c r="H13" s="97">
        <v>58998</v>
      </c>
      <c r="I13" s="97">
        <v>23916</v>
      </c>
      <c r="J13" s="97">
        <v>43448</v>
      </c>
      <c r="K13" s="97">
        <v>39732</v>
      </c>
      <c r="L13" s="97">
        <v>58540.83484573503</v>
      </c>
      <c r="M13" s="97">
        <v>53262.25045372051</v>
      </c>
      <c r="N13" s="45">
        <v>48326.67876588022</v>
      </c>
    </row>
    <row r="14" spans="1:14" ht="12.75">
      <c r="A14" s="27" t="s">
        <v>51</v>
      </c>
      <c r="B14" s="34">
        <f t="shared" si="0"/>
        <v>-0.3304423243712056</v>
      </c>
      <c r="C14" s="186">
        <v>1544</v>
      </c>
      <c r="D14" s="13">
        <v>2306</v>
      </c>
      <c r="E14" s="13">
        <v>1848</v>
      </c>
      <c r="F14" s="97">
        <v>1620</v>
      </c>
      <c r="G14" s="97">
        <v>1868</v>
      </c>
      <c r="H14" s="97">
        <v>2554</v>
      </c>
      <c r="I14" s="97">
        <v>1772</v>
      </c>
      <c r="J14" s="97">
        <v>3525</v>
      </c>
      <c r="K14" s="97">
        <v>3697</v>
      </c>
      <c r="L14" s="97">
        <v>3487.295825771325</v>
      </c>
      <c r="M14" s="97">
        <v>4668.784029038113</v>
      </c>
      <c r="N14" s="45">
        <v>6136.11615245009</v>
      </c>
    </row>
    <row r="15" spans="1:14" ht="12.75">
      <c r="A15" s="27" t="s">
        <v>52</v>
      </c>
      <c r="B15" s="34">
        <f t="shared" si="0"/>
        <v>25.07894736842105</v>
      </c>
      <c r="C15" s="186">
        <v>991</v>
      </c>
      <c r="D15" s="13">
        <v>38</v>
      </c>
      <c r="E15" s="13">
        <v>57</v>
      </c>
      <c r="F15" s="97">
        <v>76</v>
      </c>
      <c r="G15" s="97">
        <v>152</v>
      </c>
      <c r="H15" s="97">
        <v>286</v>
      </c>
      <c r="I15" s="97">
        <v>1582</v>
      </c>
      <c r="J15" s="97">
        <v>1963</v>
      </c>
      <c r="K15" s="97">
        <v>2267.6950998185116</v>
      </c>
      <c r="L15" s="97">
        <v>6021.778584392015</v>
      </c>
      <c r="M15" s="97">
        <v>3582.5771324863886</v>
      </c>
      <c r="N15" s="45">
        <v>533.5753176043557</v>
      </c>
    </row>
    <row r="16" spans="1:14" ht="12.75">
      <c r="A16" s="27" t="s">
        <v>53</v>
      </c>
      <c r="B16" s="34">
        <f t="shared" si="0"/>
        <v>-1</v>
      </c>
      <c r="C16" s="186"/>
      <c r="D16" s="13">
        <v>19</v>
      </c>
      <c r="E16" s="13">
        <v>19</v>
      </c>
      <c r="F16" s="97">
        <v>133</v>
      </c>
      <c r="G16" s="97">
        <v>19</v>
      </c>
      <c r="H16" s="97">
        <v>362</v>
      </c>
      <c r="I16" s="97">
        <v>57</v>
      </c>
      <c r="J16" s="97">
        <v>76</v>
      </c>
      <c r="K16" s="97">
        <v>304.90018148820326</v>
      </c>
      <c r="L16" s="97">
        <v>266.7876588021779</v>
      </c>
      <c r="M16" s="97">
        <v>19.056261343012704</v>
      </c>
      <c r="N16" s="45">
        <v>190.56261343012704</v>
      </c>
    </row>
    <row r="17" spans="1:14" ht="12.75">
      <c r="A17" s="28" t="s">
        <v>21</v>
      </c>
      <c r="B17" s="34">
        <f t="shared" si="0"/>
        <v>-0.0872117163024195</v>
      </c>
      <c r="C17" s="186">
        <v>96730</v>
      </c>
      <c r="D17" s="13">
        <v>105972</v>
      </c>
      <c r="E17" s="13">
        <v>106429</v>
      </c>
      <c r="F17" s="13">
        <v>79484</v>
      </c>
      <c r="G17" s="13">
        <v>78893</v>
      </c>
      <c r="H17" s="13">
        <v>53053</v>
      </c>
      <c r="I17" s="13">
        <v>54844</v>
      </c>
      <c r="J17" s="13">
        <v>46002</v>
      </c>
      <c r="K17" s="13">
        <v>51566.24319419238</v>
      </c>
      <c r="L17" s="13">
        <v>60179.67332123412</v>
      </c>
      <c r="M17" s="13">
        <v>55339.382940108895</v>
      </c>
      <c r="N17" s="45">
        <v>46516.33393829401</v>
      </c>
    </row>
    <row r="18" spans="1:14" ht="12.75">
      <c r="A18" s="27" t="s">
        <v>18</v>
      </c>
      <c r="B18" s="34">
        <f t="shared" si="0"/>
        <v>-0.18840284967706947</v>
      </c>
      <c r="C18" s="186">
        <v>526772</v>
      </c>
      <c r="D18" s="13">
        <v>649056</v>
      </c>
      <c r="E18" s="13">
        <v>743366</v>
      </c>
      <c r="F18" s="97">
        <v>581330</v>
      </c>
      <c r="G18" s="97">
        <v>892729</v>
      </c>
      <c r="H18" s="97">
        <v>670456</v>
      </c>
      <c r="I18" s="97">
        <v>674268</v>
      </c>
      <c r="J18" s="97">
        <v>654278</v>
      </c>
      <c r="K18" s="97">
        <v>615574</v>
      </c>
      <c r="L18" s="97">
        <v>681147.0054446461</v>
      </c>
      <c r="M18" s="97">
        <v>679260.4355716879</v>
      </c>
      <c r="N18" s="45">
        <v>623368.4210526316</v>
      </c>
    </row>
    <row r="19" spans="1:14" ht="12.75">
      <c r="A19" s="27" t="s">
        <v>54</v>
      </c>
      <c r="B19" s="34">
        <f t="shared" si="0"/>
        <v>0.8652800435019032</v>
      </c>
      <c r="C19" s="186">
        <v>13721</v>
      </c>
      <c r="D19" s="13">
        <v>7356</v>
      </c>
      <c r="E19" s="13">
        <v>7337</v>
      </c>
      <c r="F19" s="97">
        <v>7966</v>
      </c>
      <c r="G19" s="97">
        <v>9890</v>
      </c>
      <c r="H19" s="97">
        <v>7756</v>
      </c>
      <c r="I19" s="97">
        <v>4917</v>
      </c>
      <c r="J19" s="97">
        <v>9757</v>
      </c>
      <c r="K19" s="97">
        <v>9719</v>
      </c>
      <c r="L19" s="97">
        <v>9394.736842105263</v>
      </c>
      <c r="M19" s="97">
        <v>12958.257713248639</v>
      </c>
      <c r="N19" s="45">
        <v>13091.651542649728</v>
      </c>
    </row>
    <row r="20" spans="1:14" ht="12.75">
      <c r="A20" s="27" t="s">
        <v>55</v>
      </c>
      <c r="B20" s="34">
        <f t="shared" si="0"/>
        <v>-0.6994495412844036</v>
      </c>
      <c r="C20" s="186">
        <v>819</v>
      </c>
      <c r="D20" s="13">
        <v>2725</v>
      </c>
      <c r="E20" s="13">
        <v>4383</v>
      </c>
      <c r="F20" s="97">
        <v>5393</v>
      </c>
      <c r="G20" s="97">
        <v>5240</v>
      </c>
      <c r="H20" s="97">
        <v>11662</v>
      </c>
      <c r="I20" s="97">
        <v>3659</v>
      </c>
      <c r="J20" s="97">
        <v>7584</v>
      </c>
      <c r="K20" s="97">
        <v>8080</v>
      </c>
      <c r="L20" s="97">
        <v>11509.981851179673</v>
      </c>
      <c r="M20" s="97">
        <v>13930.127041742287</v>
      </c>
      <c r="N20" s="45">
        <v>10252.268602540835</v>
      </c>
    </row>
    <row r="21" spans="1:14" ht="12.75">
      <c r="A21" s="27" t="s">
        <v>34</v>
      </c>
      <c r="B21" s="34">
        <f t="shared" si="0"/>
        <v>0.06549214860206817</v>
      </c>
      <c r="C21" s="186">
        <v>2782</v>
      </c>
      <c r="D21" s="13">
        <v>2611</v>
      </c>
      <c r="E21" s="13">
        <v>2211</v>
      </c>
      <c r="F21" s="97">
        <v>2820</v>
      </c>
      <c r="G21" s="97">
        <v>3868</v>
      </c>
      <c r="H21" s="97">
        <v>1525</v>
      </c>
      <c r="I21" s="97">
        <v>1372</v>
      </c>
      <c r="J21" s="97">
        <v>2763</v>
      </c>
      <c r="K21" s="97">
        <v>3411</v>
      </c>
      <c r="L21" s="97">
        <v>3849.3647912885663</v>
      </c>
      <c r="M21" s="97">
        <v>2629.764065335753</v>
      </c>
      <c r="N21" s="45">
        <v>4325.771324863884</v>
      </c>
    </row>
    <row r="22" spans="1:14" ht="12.75">
      <c r="A22" s="27" t="s">
        <v>20</v>
      </c>
      <c r="B22" s="34">
        <f t="shared" si="0"/>
        <v>-0.3392689784442362</v>
      </c>
      <c r="C22" s="186">
        <v>705</v>
      </c>
      <c r="D22" s="13">
        <v>1067</v>
      </c>
      <c r="E22" s="13">
        <v>838</v>
      </c>
      <c r="F22" s="97">
        <v>1162</v>
      </c>
      <c r="G22" s="97">
        <v>1124</v>
      </c>
      <c r="H22" s="97">
        <v>1181</v>
      </c>
      <c r="I22" s="97">
        <v>1048</v>
      </c>
      <c r="J22" s="97">
        <v>1544</v>
      </c>
      <c r="K22" s="97">
        <v>1543.557168784029</v>
      </c>
      <c r="L22" s="97">
        <v>2305.807622504537</v>
      </c>
      <c r="M22" s="97">
        <v>2705.989110707804</v>
      </c>
      <c r="N22" s="45">
        <v>2705.989110707804</v>
      </c>
    </row>
    <row r="23" spans="1:14" ht="12.75">
      <c r="A23" s="27" t="s">
        <v>56</v>
      </c>
      <c r="B23" s="34"/>
      <c r="C23" s="186"/>
      <c r="D23" s="13"/>
      <c r="E23" s="13">
        <v>0</v>
      </c>
      <c r="F23" s="97">
        <v>0</v>
      </c>
      <c r="G23" s="97">
        <v>0</v>
      </c>
      <c r="H23" s="97">
        <v>2401</v>
      </c>
      <c r="I23" s="97">
        <v>0</v>
      </c>
      <c r="J23" s="97">
        <v>152</v>
      </c>
      <c r="K23" s="97">
        <v>171.50635208711435</v>
      </c>
      <c r="L23" s="97">
        <v>438.2940108892922</v>
      </c>
      <c r="M23" s="97">
        <v>457.3502722323049</v>
      </c>
      <c r="N23" s="45">
        <v>266.7876588021779</v>
      </c>
    </row>
    <row r="24" spans="1:14" ht="12.75">
      <c r="A24" s="27" t="s">
        <v>57</v>
      </c>
      <c r="B24" s="34">
        <f t="shared" si="0"/>
        <v>17.385964912280702</v>
      </c>
      <c r="C24" s="186">
        <v>1048</v>
      </c>
      <c r="D24" s="13">
        <v>57</v>
      </c>
      <c r="E24" s="13">
        <v>286</v>
      </c>
      <c r="F24" s="97">
        <v>286</v>
      </c>
      <c r="G24" s="97">
        <v>286</v>
      </c>
      <c r="H24" s="97">
        <v>1029</v>
      </c>
      <c r="I24" s="97">
        <v>38</v>
      </c>
      <c r="J24" s="97">
        <v>3335</v>
      </c>
      <c r="K24" s="97">
        <v>762.2504537205082</v>
      </c>
      <c r="L24" s="97">
        <v>971.8693284936479</v>
      </c>
      <c r="M24" s="97">
        <v>1238.6569872958257</v>
      </c>
      <c r="N24" s="45">
        <v>1238.6569872958257</v>
      </c>
    </row>
    <row r="25" spans="1:14" ht="13.5" thickBot="1">
      <c r="A25" s="29" t="s">
        <v>58</v>
      </c>
      <c r="B25" s="35">
        <f t="shared" si="0"/>
        <v>0.07913843542055084</v>
      </c>
      <c r="C25" s="187">
        <f>121941+20447</f>
        <v>142388</v>
      </c>
      <c r="D25" s="15">
        <v>131946</v>
      </c>
      <c r="E25" s="15">
        <v>240585</v>
      </c>
      <c r="F25" s="98">
        <v>193650</v>
      </c>
      <c r="G25" s="98">
        <v>113061</v>
      </c>
      <c r="H25" s="98">
        <v>131984</v>
      </c>
      <c r="I25" s="98">
        <v>72871</v>
      </c>
      <c r="J25" s="98">
        <v>65839</v>
      </c>
      <c r="K25" s="98">
        <v>61361</v>
      </c>
      <c r="L25" s="98">
        <v>81274.95462794918</v>
      </c>
      <c r="M25" s="98">
        <v>84247.73139745917</v>
      </c>
      <c r="N25" s="46">
        <v>59398.366606170595</v>
      </c>
    </row>
    <row r="26" spans="1:14" ht="13.5" thickBot="1">
      <c r="A26" s="44" t="s">
        <v>22</v>
      </c>
      <c r="B26" s="40">
        <f t="shared" si="0"/>
        <v>-0.13941259062715478</v>
      </c>
      <c r="C26" s="96">
        <f>SUM(C2:C25)</f>
        <v>2201627</v>
      </c>
      <c r="D26" s="41">
        <f>SUM(D2:D25)</f>
        <v>2558284</v>
      </c>
      <c r="E26" s="41">
        <f aca="true" t="shared" si="1" ref="E26:N26">SUM(E2:E25)</f>
        <v>2566858</v>
      </c>
      <c r="F26" s="41">
        <f t="shared" si="1"/>
        <v>2252108</v>
      </c>
      <c r="G26" s="41">
        <f t="shared" si="1"/>
        <v>2774191</v>
      </c>
      <c r="H26" s="41">
        <f t="shared" si="1"/>
        <v>2284961</v>
      </c>
      <c r="I26" s="41">
        <f t="shared" si="1"/>
        <v>2056669</v>
      </c>
      <c r="J26" s="41">
        <f t="shared" si="1"/>
        <v>1979183</v>
      </c>
      <c r="K26" s="41">
        <f t="shared" si="1"/>
        <v>1960641.2450090745</v>
      </c>
      <c r="L26" s="41">
        <f t="shared" si="1"/>
        <v>2122905.626134301</v>
      </c>
      <c r="M26" s="41">
        <f t="shared" si="1"/>
        <v>2223084.3920145193</v>
      </c>
      <c r="N26" s="47">
        <f t="shared" si="1"/>
        <v>1905111.615245009</v>
      </c>
    </row>
    <row r="27" spans="2:16" s="9" customFormat="1" ht="12.75">
      <c r="B27" s="43"/>
      <c r="C27" s="43"/>
      <c r="D27" s="43"/>
      <c r="E27" s="43"/>
      <c r="F27" s="12"/>
      <c r="G27" s="12"/>
      <c r="H27" s="12"/>
      <c r="I27" s="12"/>
      <c r="J27" s="12"/>
      <c r="K27" s="12"/>
      <c r="L27" s="12"/>
      <c r="M27" s="12"/>
      <c r="N27" s="159"/>
      <c r="P27" s="12"/>
    </row>
    <row r="28" spans="2:14" s="9" customFormat="1" ht="13.5" thickBot="1">
      <c r="B28" s="43"/>
      <c r="C28" s="43"/>
      <c r="D28" s="43"/>
      <c r="E28" s="43"/>
      <c r="F28" s="12"/>
      <c r="G28" s="12"/>
      <c r="H28" s="12"/>
      <c r="I28" s="12"/>
      <c r="J28" s="12"/>
      <c r="K28" s="12"/>
      <c r="L28" s="12"/>
      <c r="M28" s="12"/>
      <c r="N28" s="159"/>
    </row>
    <row r="29" spans="1:14" s="16" customFormat="1" ht="13.5" thickBot="1">
      <c r="A29" s="30" t="s">
        <v>24</v>
      </c>
      <c r="B29" s="31" t="s">
        <v>188</v>
      </c>
      <c r="C29" s="151">
        <v>43405</v>
      </c>
      <c r="D29" s="99">
        <v>43040</v>
      </c>
      <c r="E29" s="32">
        <f>E1</f>
        <v>42675</v>
      </c>
      <c r="F29" s="32">
        <f>F1</f>
        <v>42309</v>
      </c>
      <c r="G29" s="32">
        <f>G1</f>
        <v>41944</v>
      </c>
      <c r="H29" s="32">
        <v>41579</v>
      </c>
      <c r="I29" s="32">
        <v>41214</v>
      </c>
      <c r="J29" s="32">
        <v>40848</v>
      </c>
      <c r="K29" s="32">
        <v>40483</v>
      </c>
      <c r="L29" s="32">
        <v>40118</v>
      </c>
      <c r="M29" s="32">
        <v>39753</v>
      </c>
      <c r="N29" s="48">
        <v>39387</v>
      </c>
    </row>
    <row r="30" spans="1:14" ht="12.75">
      <c r="A30" s="26" t="s">
        <v>40</v>
      </c>
      <c r="B30" s="34">
        <f aca="true" t="shared" si="2" ref="B30:B40">(C30-D30)/D30</f>
        <v>0.08701475035487255</v>
      </c>
      <c r="C30" s="186">
        <v>176129</v>
      </c>
      <c r="D30" s="13">
        <v>162030</v>
      </c>
      <c r="E30" s="13">
        <v>130665</v>
      </c>
      <c r="F30" s="13">
        <v>150594.42</v>
      </c>
      <c r="G30" s="13">
        <v>179395.76</v>
      </c>
      <c r="H30" s="13">
        <v>199474.12</v>
      </c>
      <c r="I30" s="13">
        <v>171762.98</v>
      </c>
      <c r="J30" s="13">
        <v>201935.5</v>
      </c>
      <c r="K30" s="13">
        <v>167585.52</v>
      </c>
      <c r="L30" s="13">
        <v>192532.32</v>
      </c>
      <c r="M30" s="13">
        <v>152743.06</v>
      </c>
      <c r="N30" s="45">
        <v>172657</v>
      </c>
    </row>
    <row r="31" spans="1:14" ht="12.75">
      <c r="A31" s="26" t="s">
        <v>41</v>
      </c>
      <c r="B31" s="34">
        <f t="shared" si="2"/>
        <v>0.46003442011664597</v>
      </c>
      <c r="C31" s="186">
        <v>61082</v>
      </c>
      <c r="D31" s="13">
        <v>41836</v>
      </c>
      <c r="E31" s="13">
        <v>50206</v>
      </c>
      <c r="F31" s="13">
        <v>49141.22</v>
      </c>
      <c r="G31" s="13">
        <v>45227.68</v>
      </c>
      <c r="H31" s="13">
        <v>55475</v>
      </c>
      <c r="I31" s="13">
        <v>47429.86</v>
      </c>
      <c r="J31" s="13">
        <v>62972.38</v>
      </c>
      <c r="K31" s="13">
        <v>38279.94</v>
      </c>
      <c r="L31" s="13">
        <v>49450.92</v>
      </c>
      <c r="M31" s="13">
        <v>52399.26</v>
      </c>
      <c r="N31" s="45">
        <v>39769</v>
      </c>
    </row>
    <row r="32" spans="1:14" ht="12.75">
      <c r="A32" s="26" t="s">
        <v>42</v>
      </c>
      <c r="B32" s="34">
        <f t="shared" si="2"/>
        <v>-0.0020624715233129956</v>
      </c>
      <c r="C32" s="186">
        <v>19712.26</v>
      </c>
      <c r="D32" s="13">
        <v>19753</v>
      </c>
      <c r="E32" s="13">
        <v>16402</v>
      </c>
      <c r="F32" s="13">
        <v>15182.36</v>
      </c>
      <c r="G32" s="13">
        <v>19043.48</v>
      </c>
      <c r="H32" s="13">
        <v>19536.28</v>
      </c>
      <c r="I32" s="13">
        <v>18347.82</v>
      </c>
      <c r="J32" s="13">
        <v>17508.38</v>
      </c>
      <c r="K32" s="13">
        <v>16136.5</v>
      </c>
      <c r="L32" s="13">
        <v>18083.64</v>
      </c>
      <c r="M32" s="13">
        <v>14658.04</v>
      </c>
      <c r="N32" s="45">
        <v>16315</v>
      </c>
    </row>
    <row r="33" spans="1:14" ht="12.75">
      <c r="A33" s="26" t="s">
        <v>43</v>
      </c>
      <c r="B33" s="34">
        <f t="shared" si="2"/>
        <v>0.09446343513589237</v>
      </c>
      <c r="C33" s="186">
        <v>3906.14</v>
      </c>
      <c r="D33" s="13">
        <v>3569</v>
      </c>
      <c r="E33" s="13">
        <v>3943</v>
      </c>
      <c r="F33" s="13">
        <v>2564.7</v>
      </c>
      <c r="G33" s="13">
        <v>3314.66</v>
      </c>
      <c r="H33" s="13">
        <v>4540.64</v>
      </c>
      <c r="I33" s="13">
        <v>3146.08</v>
      </c>
      <c r="J33" s="13">
        <v>4621.72</v>
      </c>
      <c r="K33" s="13">
        <v>3811.72</v>
      </c>
      <c r="L33" s="13">
        <v>4028.22</v>
      </c>
      <c r="M33" s="13">
        <v>4148.64</v>
      </c>
      <c r="N33" s="45">
        <v>3402</v>
      </c>
    </row>
    <row r="34" spans="1:14" ht="12.75">
      <c r="A34" s="26" t="s">
        <v>166</v>
      </c>
      <c r="B34" s="34">
        <f t="shared" si="2"/>
        <v>0.44613861386138604</v>
      </c>
      <c r="C34" s="186">
        <v>730.3</v>
      </c>
      <c r="D34" s="13">
        <v>505</v>
      </c>
      <c r="E34" s="13">
        <v>246</v>
      </c>
      <c r="F34" s="13">
        <v>449.64</v>
      </c>
      <c r="G34" s="13">
        <v>703.14</v>
      </c>
      <c r="H34" s="13">
        <v>966.82</v>
      </c>
      <c r="I34" s="13">
        <v>1165.26</v>
      </c>
      <c r="J34" s="13">
        <v>1676.62</v>
      </c>
      <c r="K34" s="13"/>
      <c r="L34" s="13"/>
      <c r="M34" s="13"/>
      <c r="N34" s="45"/>
    </row>
    <row r="35" spans="1:14" ht="12.75">
      <c r="A35" s="26" t="s">
        <v>44</v>
      </c>
      <c r="B35" s="34">
        <f t="shared" si="2"/>
        <v>0.2905354058721935</v>
      </c>
      <c r="C35" s="186">
        <v>747.22</v>
      </c>
      <c r="D35" s="13">
        <v>579</v>
      </c>
      <c r="E35" s="13">
        <v>588</v>
      </c>
      <c r="F35" s="13">
        <v>257.16</v>
      </c>
      <c r="G35" s="13">
        <v>580.02</v>
      </c>
      <c r="H35" s="13">
        <v>845.78</v>
      </c>
      <c r="I35" s="13">
        <v>1116.5</v>
      </c>
      <c r="J35" s="13">
        <v>950.44</v>
      </c>
      <c r="K35" s="13">
        <v>617.58</v>
      </c>
      <c r="L35" s="13">
        <v>762.96</v>
      </c>
      <c r="M35" s="13">
        <v>828.76</v>
      </c>
      <c r="N35" s="45">
        <v>650</v>
      </c>
    </row>
    <row r="36" spans="1:14" ht="12.75">
      <c r="A36" s="26" t="s">
        <v>177</v>
      </c>
      <c r="B36" s="34">
        <f t="shared" si="2"/>
        <v>1.187012987012987</v>
      </c>
      <c r="C36" s="186">
        <v>842</v>
      </c>
      <c r="D36" s="13">
        <v>385</v>
      </c>
      <c r="E36" s="13">
        <v>842</v>
      </c>
      <c r="F36" s="13">
        <v>378.42</v>
      </c>
      <c r="G36" s="13"/>
      <c r="H36" s="13"/>
      <c r="I36" s="13"/>
      <c r="J36" s="13"/>
      <c r="K36" s="13"/>
      <c r="L36" s="13"/>
      <c r="M36" s="13"/>
      <c r="N36" s="45"/>
    </row>
    <row r="37" spans="1:14" ht="12.75">
      <c r="A37" s="26" t="s">
        <v>45</v>
      </c>
      <c r="B37" s="34"/>
      <c r="C37" s="186"/>
      <c r="D37" s="13"/>
      <c r="E37" s="13"/>
      <c r="F37" s="13"/>
      <c r="G37" s="13"/>
      <c r="H37" s="13"/>
      <c r="I37" s="13">
        <v>370</v>
      </c>
      <c r="J37" s="13">
        <v>220.22</v>
      </c>
      <c r="K37" s="13">
        <v>259.34</v>
      </c>
      <c r="L37" s="13">
        <v>283.08</v>
      </c>
      <c r="M37" s="13">
        <v>478.88</v>
      </c>
      <c r="N37" s="45">
        <v>409</v>
      </c>
    </row>
    <row r="38" spans="1:14" ht="12.75">
      <c r="A38" s="26" t="s">
        <v>47</v>
      </c>
      <c r="B38" s="34">
        <f t="shared" si="2"/>
        <v>0.30240325865580453</v>
      </c>
      <c r="C38" s="186">
        <v>639.48</v>
      </c>
      <c r="D38" s="13">
        <v>491</v>
      </c>
      <c r="E38" s="13">
        <v>474</v>
      </c>
      <c r="F38" s="13">
        <v>569.76</v>
      </c>
      <c r="G38" s="13">
        <v>1386.6</v>
      </c>
      <c r="H38" s="13">
        <v>1846.98</v>
      </c>
      <c r="I38" s="13">
        <v>1463.66</v>
      </c>
      <c r="J38" s="13">
        <v>1094.24</v>
      </c>
      <c r="K38" s="13">
        <v>2447.76</v>
      </c>
      <c r="L38" s="13">
        <v>2244.54</v>
      </c>
      <c r="M38" s="13">
        <v>2781.56</v>
      </c>
      <c r="N38" s="45">
        <v>2804</v>
      </c>
    </row>
    <row r="39" spans="1:14" s="16" customFormat="1" ht="13.5" thickBot="1">
      <c r="A39" s="37" t="s">
        <v>46</v>
      </c>
      <c r="B39" s="35">
        <f t="shared" si="2"/>
        <v>0.6399742067223729</v>
      </c>
      <c r="C39" s="187">
        <v>61038.2</v>
      </c>
      <c r="D39" s="15">
        <v>37219</v>
      </c>
      <c r="E39" s="15">
        <v>44787</v>
      </c>
      <c r="F39" s="15">
        <v>30561.78</v>
      </c>
      <c r="G39" s="15">
        <v>38939.68</v>
      </c>
      <c r="H39" s="15">
        <v>47664.66</v>
      </c>
      <c r="I39" s="15">
        <v>46449.66</v>
      </c>
      <c r="J39" s="15">
        <v>45837.06</v>
      </c>
      <c r="K39" s="15">
        <v>35666.76</v>
      </c>
      <c r="L39" s="15">
        <v>44689.52</v>
      </c>
      <c r="M39" s="15">
        <v>38645.08</v>
      </c>
      <c r="N39" s="46">
        <v>39116</v>
      </c>
    </row>
    <row r="40" spans="1:14" ht="13.5" thickBot="1">
      <c r="A40" s="39" t="s">
        <v>22</v>
      </c>
      <c r="B40" s="40">
        <f t="shared" si="2"/>
        <v>0.2194701295580908</v>
      </c>
      <c r="C40" s="96">
        <f>SUM(C30:C39)</f>
        <v>324826.6</v>
      </c>
      <c r="D40" s="41">
        <f>SUM(D30:D39)</f>
        <v>266367</v>
      </c>
      <c r="E40" s="41">
        <f>SUM(E30:E39)</f>
        <v>248153</v>
      </c>
      <c r="F40" s="41">
        <f>SUM(F30:F39)</f>
        <v>249699.46000000005</v>
      </c>
      <c r="G40" s="41">
        <f>SUM(G30:G39)</f>
        <v>288591.02</v>
      </c>
      <c r="H40" s="41">
        <f aca="true" t="shared" si="3" ref="H40:N40">SUM(H30:H39)</f>
        <v>330350.28</v>
      </c>
      <c r="I40" s="41">
        <f t="shared" si="3"/>
        <v>291251.82000000007</v>
      </c>
      <c r="J40" s="41">
        <f t="shared" si="3"/>
        <v>336816.55999999994</v>
      </c>
      <c r="K40" s="41">
        <f t="shared" si="3"/>
        <v>264805.12</v>
      </c>
      <c r="L40" s="41">
        <f t="shared" si="3"/>
        <v>312075.2</v>
      </c>
      <c r="M40" s="41">
        <f t="shared" si="3"/>
        <v>266683.28</v>
      </c>
      <c r="N40" s="47">
        <f t="shared" si="3"/>
        <v>275122</v>
      </c>
    </row>
    <row r="47" spans="14:15" ht="17.25">
      <c r="N47" s="5"/>
      <c r="O47" s="1"/>
    </row>
    <row r="48" spans="14:15" ht="17.25">
      <c r="N48" s="5"/>
      <c r="O48" s="1"/>
    </row>
    <row r="49" spans="14:15" ht="17.25">
      <c r="N49" s="5"/>
      <c r="O49" s="1"/>
    </row>
    <row r="50" spans="14:15" ht="17.25">
      <c r="N50" s="5"/>
      <c r="O50" s="1"/>
    </row>
    <row r="51" spans="14:15" ht="17.25">
      <c r="N51" s="5"/>
      <c r="O51" s="1"/>
    </row>
    <row r="52" spans="14:15" ht="17.25">
      <c r="N52" s="5"/>
      <c r="O52" s="1"/>
    </row>
    <row r="53" spans="14:15" ht="17.25">
      <c r="N53" s="5"/>
      <c r="O53" s="1"/>
    </row>
    <row r="54" spans="14:15" ht="17.25">
      <c r="N54" s="5"/>
      <c r="O54" s="1"/>
    </row>
    <row r="55" spans="14:15" ht="17.25">
      <c r="N55" s="5"/>
      <c r="O55" s="1"/>
    </row>
    <row r="56" spans="14:15" ht="17.25">
      <c r="N56" s="5"/>
      <c r="O56" s="1"/>
    </row>
    <row r="57" spans="14:15" ht="17.25">
      <c r="N57" s="6"/>
      <c r="O57" s="1"/>
    </row>
    <row r="58" spans="14:15" ht="18">
      <c r="N58" s="7"/>
      <c r="O58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21.7109375" style="0" customWidth="1"/>
    <col min="2" max="2" width="10.7109375" style="16" customWidth="1"/>
    <col min="3" max="3" width="12.28125" style="118" bestFit="1" customWidth="1"/>
    <col min="4" max="4" width="13.421875" style="12" bestFit="1" customWidth="1"/>
    <col min="5" max="13" width="10.7109375" style="16" customWidth="1"/>
    <col min="14" max="14" width="11.57421875" style="0" customWidth="1"/>
    <col min="15" max="15" width="9.140625" style="0" customWidth="1"/>
    <col min="16" max="16" width="21.7109375" style="0" customWidth="1"/>
    <col min="17" max="17" width="11.57421875" style="0" customWidth="1"/>
  </cols>
  <sheetData>
    <row r="1" spans="1:19" s="16" customFormat="1" ht="13.5" thickBot="1">
      <c r="A1" s="30" t="s">
        <v>23</v>
      </c>
      <c r="B1" s="31" t="s">
        <v>188</v>
      </c>
      <c r="C1" s="151">
        <v>43405</v>
      </c>
      <c r="D1" s="99">
        <v>43040</v>
      </c>
      <c r="E1" s="32">
        <v>42675</v>
      </c>
      <c r="F1" s="99">
        <v>42309</v>
      </c>
      <c r="G1" s="99">
        <v>41944</v>
      </c>
      <c r="H1" s="99">
        <v>41579</v>
      </c>
      <c r="I1" s="99">
        <v>41214</v>
      </c>
      <c r="J1" s="99">
        <v>40848</v>
      </c>
      <c r="K1" s="99">
        <v>40483</v>
      </c>
      <c r="L1" s="99">
        <v>40118</v>
      </c>
      <c r="M1" s="99">
        <v>39753</v>
      </c>
      <c r="N1" s="48">
        <v>39387</v>
      </c>
      <c r="P1" s="10"/>
      <c r="Q1" s="10"/>
      <c r="R1" s="117"/>
      <c r="S1" s="117"/>
    </row>
    <row r="2" spans="1:19" ht="12.75">
      <c r="A2" s="100" t="s">
        <v>7</v>
      </c>
      <c r="B2" s="101">
        <f>(C2-D2)/D2</f>
        <v>0.7731159190040151</v>
      </c>
      <c r="C2" s="188">
        <f>Austria!C21</f>
        <v>122767</v>
      </c>
      <c r="D2" s="102">
        <f>Austria!D21</f>
        <v>69238</v>
      </c>
      <c r="E2" s="102">
        <f>Austria!E21</f>
        <v>33799.93000000001</v>
      </c>
      <c r="F2" s="102">
        <f>Austria!F21</f>
        <v>136266.9</v>
      </c>
      <c r="G2" s="102">
        <f>Austria!G21</f>
        <v>142899.73</v>
      </c>
      <c r="H2" s="102">
        <f>Austria!H$21</f>
        <v>0</v>
      </c>
      <c r="I2" s="102">
        <f>Austria!I$21</f>
        <v>121804</v>
      </c>
      <c r="J2" s="102">
        <f>Austria!J$21</f>
        <v>0</v>
      </c>
      <c r="K2" s="102">
        <f>Austria!K$21</f>
        <v>155546</v>
      </c>
      <c r="L2" s="102">
        <f>Austria!L$21</f>
        <v>149812.55</v>
      </c>
      <c r="M2" s="102">
        <f>Austria!M$21</f>
        <v>143081</v>
      </c>
      <c r="N2" s="103">
        <f>Austria!N$21</f>
        <v>141466</v>
      </c>
      <c r="P2" s="12"/>
      <c r="Q2" s="87"/>
      <c r="R2" s="13"/>
      <c r="S2" s="13"/>
    </row>
    <row r="3" spans="1:19" ht="12.75">
      <c r="A3" s="52" t="s">
        <v>151</v>
      </c>
      <c r="B3" s="34">
        <f aca="true" t="shared" si="0" ref="B3:B15">(C3-D3)/D3</f>
        <v>3.3480735721200388</v>
      </c>
      <c r="C3" s="186">
        <f>Belgium!C10</f>
        <v>224578</v>
      </c>
      <c r="D3" s="13">
        <f>Belgium!D10</f>
        <v>51650</v>
      </c>
      <c r="E3" s="13">
        <f>Belgium!E10</f>
        <v>160497</v>
      </c>
      <c r="F3" s="13">
        <f>Belgium!F10</f>
        <v>230032</v>
      </c>
      <c r="G3" s="13">
        <f>Belgium!G10</f>
        <v>241945</v>
      </c>
      <c r="H3" s="13">
        <f>Belgium!H$10</f>
        <v>186156</v>
      </c>
      <c r="I3" s="13">
        <f>Belgium!I$10</f>
        <v>173584</v>
      </c>
      <c r="J3" s="13">
        <f>Belgium!J$10</f>
        <v>169474</v>
      </c>
      <c r="K3" s="13">
        <f>Belgium!K$10</f>
        <v>154589</v>
      </c>
      <c r="L3" s="13">
        <f>Belgium!L$10</f>
        <v>191571</v>
      </c>
      <c r="M3" s="13">
        <f>Belgium!M$10</f>
        <v>230462</v>
      </c>
      <c r="N3" s="45">
        <f>Belgium!N$10</f>
        <v>201700</v>
      </c>
      <c r="P3" s="12"/>
      <c r="Q3" s="12"/>
      <c r="R3" s="13"/>
      <c r="S3" s="13"/>
    </row>
    <row r="4" spans="1:19" ht="12.75">
      <c r="A4" s="26" t="s">
        <v>30</v>
      </c>
      <c r="B4" s="34">
        <f t="shared" si="0"/>
        <v>0.513743150608958</v>
      </c>
      <c r="C4" s="186">
        <f>'Czech Republic'!C$12</f>
        <v>68235</v>
      </c>
      <c r="D4" s="13">
        <f>'Czech Republic'!D$12</f>
        <v>45077</v>
      </c>
      <c r="E4" s="13">
        <f>'Czech Republic'!E$12</f>
        <v>47197</v>
      </c>
      <c r="F4" s="13">
        <f>'Czech Republic'!F$12</f>
        <v>49582</v>
      </c>
      <c r="G4" s="13">
        <f>'Czech Republic'!G$12</f>
        <v>47940</v>
      </c>
      <c r="H4" s="13">
        <f>'Czech Republic'!H$12</f>
        <v>47104</v>
      </c>
      <c r="I4" s="13">
        <f>'Czech Republic'!I$12</f>
        <v>45559</v>
      </c>
      <c r="J4" s="13">
        <f>'Czech Republic'!J$12</f>
        <v>30670</v>
      </c>
      <c r="K4" s="13">
        <f>'Czech Republic'!K$12</f>
        <v>31260</v>
      </c>
      <c r="L4" s="13">
        <f>'Czech Republic'!L$12</f>
        <v>44255</v>
      </c>
      <c r="M4" s="13">
        <f>'Czech Republic'!M$12</f>
        <v>45754</v>
      </c>
      <c r="N4" s="45">
        <f>'Czech Republic'!N$12</f>
        <v>35259</v>
      </c>
      <c r="P4" s="12"/>
      <c r="Q4" s="87"/>
      <c r="R4" s="13"/>
      <c r="S4" s="13"/>
    </row>
    <row r="5" spans="1:19" ht="12.75">
      <c r="A5" s="26" t="s">
        <v>39</v>
      </c>
      <c r="B5" s="34"/>
      <c r="C5" s="186">
        <f>Denmark!C$19</f>
        <v>17452</v>
      </c>
      <c r="D5" s="13">
        <f>Denmark!D$19</f>
        <v>0</v>
      </c>
      <c r="E5" s="13">
        <f>Denmark!E$19</f>
        <v>16303</v>
      </c>
      <c r="F5" s="13">
        <f>Denmark!F$19</f>
        <v>15128</v>
      </c>
      <c r="G5" s="13">
        <f>Denmark!G$19</f>
        <v>14527</v>
      </c>
      <c r="H5" s="13">
        <f>Denmark!H$19</f>
        <v>14209</v>
      </c>
      <c r="I5" s="13">
        <f>Denmark!I$19</f>
        <v>10222</v>
      </c>
      <c r="J5" s="13">
        <f>Denmark!J$19</f>
        <v>13717</v>
      </c>
      <c r="K5" s="13">
        <f>Denmark!K$19</f>
        <v>11356</v>
      </c>
      <c r="L5" s="13">
        <f>Denmark!L$19</f>
        <v>14362</v>
      </c>
      <c r="M5" s="13">
        <f>Denmark!M$19</f>
        <v>18827</v>
      </c>
      <c r="N5" s="45">
        <f>Denmark!N$19</f>
        <v>13849</v>
      </c>
      <c r="P5" s="12"/>
      <c r="Q5" s="13"/>
      <c r="R5" s="13"/>
      <c r="S5" s="13"/>
    </row>
    <row r="6" spans="1:19" ht="14.25">
      <c r="A6" s="52" t="s">
        <v>132</v>
      </c>
      <c r="B6" s="34">
        <f t="shared" si="0"/>
        <v>0.10729712797177432</v>
      </c>
      <c r="C6" s="186">
        <f>France!C$26</f>
        <v>772363</v>
      </c>
      <c r="D6" s="13">
        <f>France!D$26</f>
        <v>697521</v>
      </c>
      <c r="E6" s="13">
        <f>France!E$26</f>
        <v>747288</v>
      </c>
      <c r="F6" s="75">
        <f>France!F$26</f>
        <v>778517</v>
      </c>
      <c r="G6" s="75">
        <f>France!G$26</f>
        <v>661055</v>
      </c>
      <c r="H6" s="75">
        <f>France!H$26</f>
        <v>755796</v>
      </c>
      <c r="I6" s="75">
        <f>France!I$26</f>
        <v>473618</v>
      </c>
      <c r="J6" s="75">
        <f>France!J$26</f>
        <v>715795</v>
      </c>
      <c r="K6" s="75">
        <f>France!K$26</f>
        <v>700424</v>
      </c>
      <c r="L6" s="75">
        <f>France!L$26</f>
        <v>728436</v>
      </c>
      <c r="M6" s="75">
        <f>France!M$26</f>
        <v>511959</v>
      </c>
      <c r="N6" s="148"/>
      <c r="P6" s="87"/>
      <c r="Q6" s="87"/>
      <c r="R6" s="13"/>
      <c r="S6" s="13"/>
    </row>
    <row r="7" spans="1:19" ht="12.75">
      <c r="A7" s="26" t="s">
        <v>27</v>
      </c>
      <c r="B7" s="34">
        <f t="shared" si="0"/>
        <v>0.7290109434715208</v>
      </c>
      <c r="C7" s="186">
        <f>Germany!C21</f>
        <v>450601</v>
      </c>
      <c r="D7" s="13">
        <f>Germany!D21</f>
        <v>260612</v>
      </c>
      <c r="E7" s="13">
        <f>Germany!E21</f>
        <v>443948</v>
      </c>
      <c r="F7" s="13">
        <f>Germany!F21</f>
        <v>427527</v>
      </c>
      <c r="G7" s="13">
        <f>Germany!G21</f>
        <v>467597</v>
      </c>
      <c r="H7" s="13">
        <f>Germany!H$21</f>
        <v>341514</v>
      </c>
      <c r="I7" s="13">
        <f>Germany!I$21</f>
        <v>421186</v>
      </c>
      <c r="J7" s="13">
        <f>Germany!J$21</f>
        <v>436275</v>
      </c>
      <c r="K7" s="13">
        <f>Germany!K$21</f>
        <v>354605</v>
      </c>
      <c r="L7" s="13">
        <f>Germany!L$21</f>
        <v>476767</v>
      </c>
      <c r="M7" s="13">
        <f>Germany!M$21</f>
        <v>403315</v>
      </c>
      <c r="N7" s="45">
        <f>Germany!N$21</f>
        <v>409615</v>
      </c>
      <c r="P7" s="12"/>
      <c r="Q7" s="87"/>
      <c r="R7" s="13"/>
      <c r="S7" s="13"/>
    </row>
    <row r="8" spans="1:19" ht="12.75">
      <c r="A8" s="26" t="s">
        <v>15</v>
      </c>
      <c r="B8" s="34">
        <f t="shared" si="0"/>
        <v>-1</v>
      </c>
      <c r="C8" s="186">
        <f>Italy!C$19</f>
        <v>0</v>
      </c>
      <c r="D8" s="13">
        <f>Italy!D$19</f>
        <v>1186710.8200000003</v>
      </c>
      <c r="E8" s="13">
        <f>Italy!E$19</f>
        <v>1665991.137</v>
      </c>
      <c r="F8" s="13">
        <f>Italy!F$19</f>
        <v>1673768</v>
      </c>
      <c r="G8" s="13">
        <f>Italy!G$19</f>
        <v>0</v>
      </c>
      <c r="H8" s="13">
        <f>Italy!H$19</f>
        <v>0</v>
      </c>
      <c r="I8" s="13">
        <f>Italy!I$19</f>
        <v>0</v>
      </c>
      <c r="J8" s="13">
        <f>Italy!J$19</f>
        <v>0</v>
      </c>
      <c r="K8" s="13">
        <f>Italy!K$19</f>
        <v>0</v>
      </c>
      <c r="L8" s="13">
        <f>Italy!L$19</f>
        <v>0</v>
      </c>
      <c r="M8" s="13">
        <f>Italy!M$19</f>
        <v>0</v>
      </c>
      <c r="N8" s="45">
        <f>Italy!N$19</f>
        <v>0</v>
      </c>
      <c r="P8" s="12"/>
      <c r="Q8" s="12"/>
      <c r="R8" s="13"/>
      <c r="S8" s="13"/>
    </row>
    <row r="9" spans="1:19" ht="12.75">
      <c r="A9" s="52" t="s">
        <v>31</v>
      </c>
      <c r="B9" s="34">
        <f t="shared" si="0"/>
        <v>0.7061224489795919</v>
      </c>
      <c r="C9" s="186">
        <f>Poland!C$17</f>
        <v>2090000</v>
      </c>
      <c r="D9" s="13">
        <f>Poland!D$17</f>
        <v>1225000</v>
      </c>
      <c r="E9" s="13">
        <f>Poland!E$17</f>
        <v>1695000</v>
      </c>
      <c r="F9" s="75">
        <f>Poland!F$17</f>
        <v>0</v>
      </c>
      <c r="G9" s="75">
        <f>Poland!G$17</f>
        <v>1725000</v>
      </c>
      <c r="H9" s="75">
        <f>Poland!H$17</f>
        <v>1475000</v>
      </c>
      <c r="I9" s="75">
        <f>Poland!I$17</f>
        <v>1457000</v>
      </c>
      <c r="J9" s="75">
        <f>Poland!J$17</f>
        <v>1253665</v>
      </c>
      <c r="K9" s="75">
        <f>Poland!K$17</f>
        <v>0</v>
      </c>
      <c r="L9" s="75">
        <f>Poland!L$17</f>
        <v>0</v>
      </c>
      <c r="M9" s="75">
        <f>Poland!M$17</f>
        <v>0</v>
      </c>
      <c r="N9" s="77">
        <f>Poland!N$17</f>
        <v>0</v>
      </c>
      <c r="P9" s="87"/>
      <c r="Q9" s="87"/>
      <c r="R9" s="13"/>
      <c r="S9" s="13"/>
    </row>
    <row r="10" spans="1:19" ht="12.75">
      <c r="A10" s="52" t="s">
        <v>161</v>
      </c>
      <c r="B10" s="34"/>
      <c r="C10" s="186">
        <f>Portugal!C$9</f>
        <v>0</v>
      </c>
      <c r="D10" s="13">
        <f>Portugal!D$9</f>
        <v>0</v>
      </c>
      <c r="E10" s="13">
        <f>Portugal!E$9</f>
        <v>0</v>
      </c>
      <c r="F10" s="75">
        <f>Portugal!F$9</f>
        <v>0</v>
      </c>
      <c r="G10" s="75">
        <f>Portugal!G$9</f>
        <v>0</v>
      </c>
      <c r="H10" s="75">
        <f>Portugal!H$9</f>
        <v>0</v>
      </c>
      <c r="I10" s="75">
        <f>Portugal!I$9</f>
        <v>0</v>
      </c>
      <c r="J10" s="75">
        <f>Portugal!J$9</f>
        <v>0</v>
      </c>
      <c r="K10" s="75">
        <f>Portugal!K$9</f>
        <v>0</v>
      </c>
      <c r="L10" s="75">
        <f>Portugal!L$9</f>
        <v>0</v>
      </c>
      <c r="M10" s="75">
        <f>Portugal!M$9</f>
        <v>0</v>
      </c>
      <c r="N10" s="77">
        <f>Portugal!N$9</f>
        <v>0</v>
      </c>
      <c r="P10" s="87"/>
      <c r="Q10" s="87"/>
      <c r="R10" s="13"/>
      <c r="S10" s="13"/>
    </row>
    <row r="11" spans="1:19" ht="12.75">
      <c r="A11" s="26" t="s">
        <v>36</v>
      </c>
      <c r="B11" s="34">
        <f t="shared" si="0"/>
        <v>-0.040518532425741494</v>
      </c>
      <c r="C11" s="186">
        <f>Spain!C8</f>
        <v>219751</v>
      </c>
      <c r="D11" s="13">
        <f>Spain!D8</f>
        <v>229031</v>
      </c>
      <c r="E11" s="13">
        <f>Spain!E8</f>
        <v>256044.69897523153</v>
      </c>
      <c r="F11" s="13">
        <f>Spain!F8</f>
        <v>218085.4922391262</v>
      </c>
      <c r="G11" s="13">
        <f>Spain!G8</f>
        <v>240759</v>
      </c>
      <c r="H11" s="13">
        <f>Spain!H$8</f>
        <v>211788</v>
      </c>
      <c r="I11" s="13">
        <f>Spain!I$8</f>
        <v>175178</v>
      </c>
      <c r="J11" s="13">
        <f>Spain!J$8</f>
        <v>232803</v>
      </c>
      <c r="K11" s="13">
        <f>Spain!K$8</f>
        <v>229540</v>
      </c>
      <c r="L11" s="13">
        <f>Spain!L$8</f>
        <v>191398</v>
      </c>
      <c r="M11" s="13">
        <f>Spain!M$8</f>
        <v>204916</v>
      </c>
      <c r="N11" s="45">
        <f>Spain!N$8</f>
        <v>227955</v>
      </c>
      <c r="P11" s="12"/>
      <c r="Q11" s="87"/>
      <c r="R11" s="13"/>
      <c r="S11" s="13"/>
    </row>
    <row r="12" spans="1:19" ht="12.75">
      <c r="A12" s="26" t="s">
        <v>59</v>
      </c>
      <c r="B12" s="34">
        <f t="shared" si="0"/>
        <v>0.5317822746456011</v>
      </c>
      <c r="C12" s="186">
        <f>Switzerland!C$19</f>
        <v>70776</v>
      </c>
      <c r="D12" s="13">
        <f>Switzerland!D$19</f>
        <v>46205</v>
      </c>
      <c r="E12" s="13">
        <f>Switzerland!E$19</f>
        <v>61046</v>
      </c>
      <c r="F12" s="13">
        <f>Switzerland!F$19</f>
        <v>67722</v>
      </c>
      <c r="G12" s="13">
        <f>Switzerland!G$19</f>
        <v>65412</v>
      </c>
      <c r="H12" s="13">
        <f>Switzerland!H$19</f>
        <v>59359</v>
      </c>
      <c r="I12" s="13">
        <f>Switzerland!I$19</f>
        <v>67534</v>
      </c>
      <c r="J12" s="13">
        <f>Switzerland!J$19</f>
        <v>72914</v>
      </c>
      <c r="K12" s="13">
        <f>Switzerland!K$19</f>
        <v>67830</v>
      </c>
      <c r="L12" s="13">
        <f>Switzerland!L$19</f>
        <v>72477</v>
      </c>
      <c r="M12" s="13">
        <f>Switzerland!M$19</f>
        <v>64361</v>
      </c>
      <c r="N12" s="45">
        <f>Switzerland!N$19</f>
        <v>69371</v>
      </c>
      <c r="P12" s="12"/>
      <c r="Q12" s="87"/>
      <c r="R12" s="13"/>
      <c r="S12" s="13"/>
    </row>
    <row r="13" spans="1:19" ht="12.75">
      <c r="A13" s="26" t="s">
        <v>0</v>
      </c>
      <c r="B13" s="34">
        <f t="shared" si="0"/>
        <v>0.2109116533495766</v>
      </c>
      <c r="C13" s="186">
        <f>Netherlands!C$8</f>
        <v>202772</v>
      </c>
      <c r="D13" s="13">
        <f>Netherlands!D$8</f>
        <v>167454</v>
      </c>
      <c r="E13" s="13">
        <f>Netherlands!E$8</f>
        <v>239733</v>
      </c>
      <c r="F13" s="13">
        <f>Netherlands!F$8</f>
        <v>248136</v>
      </c>
      <c r="G13" s="13">
        <f>Netherlands!G$8</f>
        <v>252429</v>
      </c>
      <c r="H13" s="13">
        <f>Netherlands!H$8</f>
        <v>254937</v>
      </c>
      <c r="I13" s="13">
        <f>Netherlands!I$8</f>
        <v>233000</v>
      </c>
      <c r="J13" s="13">
        <f>Netherlands!J$8</f>
        <v>308000</v>
      </c>
      <c r="K13" s="13">
        <f>Netherlands!K$8</f>
        <v>241000</v>
      </c>
      <c r="L13" s="13">
        <f>Netherlands!L$8</f>
        <v>308000</v>
      </c>
      <c r="M13" s="13">
        <f>Netherlands!M$8</f>
        <v>282000</v>
      </c>
      <c r="N13" s="45">
        <f>Netherlands!N$8</f>
        <v>278000</v>
      </c>
      <c r="P13" s="12"/>
      <c r="Q13" s="87"/>
      <c r="R13" s="13"/>
      <c r="S13" s="13"/>
    </row>
    <row r="14" spans="1:19" ht="13.5" thickBot="1">
      <c r="A14" s="37" t="s">
        <v>178</v>
      </c>
      <c r="B14" s="35">
        <f t="shared" si="0"/>
        <v>-1</v>
      </c>
      <c r="C14" s="187">
        <f>UK!C$12</f>
        <v>0</v>
      </c>
      <c r="D14" s="15">
        <f>UK!D$12</f>
        <v>130292</v>
      </c>
      <c r="E14" s="13">
        <v>0</v>
      </c>
      <c r="F14" s="15">
        <f>UK!F$12</f>
        <v>184000</v>
      </c>
      <c r="G14" s="15">
        <f>UK!G$12</f>
        <v>187000</v>
      </c>
      <c r="H14" s="15">
        <f>UK!H$12</f>
        <v>0</v>
      </c>
      <c r="I14" s="15">
        <f>UK!I$12</f>
        <v>0</v>
      </c>
      <c r="J14" s="15">
        <f>UK!J$12</f>
        <v>0</v>
      </c>
      <c r="K14" s="15">
        <f>UK!K$12</f>
        <v>205000</v>
      </c>
      <c r="L14" s="15">
        <f>UK!L$12</f>
        <v>172000</v>
      </c>
      <c r="M14" s="15">
        <f>UK!M$12</f>
        <v>146500</v>
      </c>
      <c r="N14" s="46">
        <f>UK!N$12</f>
        <v>142400</v>
      </c>
      <c r="P14" s="12"/>
      <c r="Q14" s="87"/>
      <c r="R14" s="13"/>
      <c r="S14" s="13"/>
    </row>
    <row r="15" spans="1:19" ht="13.5" thickBot="1">
      <c r="A15" s="39" t="s">
        <v>22</v>
      </c>
      <c r="B15" s="40">
        <f t="shared" si="0"/>
        <v>0.0317621864234986</v>
      </c>
      <c r="C15" s="96">
        <f>SUM(C2:C14)</f>
        <v>4239295</v>
      </c>
      <c r="D15" s="41">
        <f>SUM(D2:D14)</f>
        <v>4108790.8200000003</v>
      </c>
      <c r="E15" s="84">
        <f aca="true" t="shared" si="1" ref="E15:N15">SUM(E2:E14)</f>
        <v>5366847.765975231</v>
      </c>
      <c r="F15" s="41">
        <f t="shared" si="1"/>
        <v>4028764.392239126</v>
      </c>
      <c r="G15" s="41">
        <f t="shared" si="1"/>
        <v>4046563.73</v>
      </c>
      <c r="H15" s="41">
        <f t="shared" si="1"/>
        <v>3345863</v>
      </c>
      <c r="I15" s="41">
        <f t="shared" si="1"/>
        <v>3178685</v>
      </c>
      <c r="J15" s="41">
        <f t="shared" si="1"/>
        <v>3233313</v>
      </c>
      <c r="K15" s="41">
        <f t="shared" si="1"/>
        <v>2151150</v>
      </c>
      <c r="L15" s="41">
        <f t="shared" si="1"/>
        <v>2349078.55</v>
      </c>
      <c r="M15" s="41">
        <f t="shared" si="1"/>
        <v>2051175</v>
      </c>
      <c r="N15" s="47">
        <f t="shared" si="1"/>
        <v>1519615</v>
      </c>
      <c r="P15" s="10"/>
      <c r="Q15" s="12"/>
      <c r="R15" s="13"/>
      <c r="S15" s="13"/>
    </row>
    <row r="16" spans="1:19" s="9" customFormat="1" ht="12.75">
      <c r="A16" s="12"/>
      <c r="B16" s="43"/>
      <c r="C16" s="13"/>
      <c r="D16" s="43"/>
      <c r="E16" s="43"/>
      <c r="F16" s="12"/>
      <c r="G16" s="12"/>
      <c r="H16" s="12"/>
      <c r="I16" s="12"/>
      <c r="J16" s="12"/>
      <c r="K16" s="12"/>
      <c r="L16" s="12"/>
      <c r="M16" s="12"/>
      <c r="N16" s="45"/>
      <c r="P16" s="12"/>
      <c r="Q16" s="12"/>
      <c r="R16" s="13"/>
      <c r="S16" s="13"/>
    </row>
    <row r="17" spans="1:19" s="9" customFormat="1" ht="13.5" thickBot="1">
      <c r="A17" s="12"/>
      <c r="B17" s="43"/>
      <c r="C17" s="13"/>
      <c r="D17" s="43"/>
      <c r="E17" s="43"/>
      <c r="F17" s="12"/>
      <c r="G17" s="12"/>
      <c r="H17" s="12"/>
      <c r="I17" s="12"/>
      <c r="J17" s="12"/>
      <c r="K17" s="12"/>
      <c r="L17" s="12"/>
      <c r="M17" s="12"/>
      <c r="N17" s="45"/>
      <c r="P17" s="12"/>
      <c r="Q17" s="12"/>
      <c r="R17" s="13"/>
      <c r="S17" s="13"/>
    </row>
    <row r="18" spans="1:19" s="16" customFormat="1" ht="13.5" thickBot="1">
      <c r="A18" s="30" t="s">
        <v>24</v>
      </c>
      <c r="B18" s="31" t="s">
        <v>188</v>
      </c>
      <c r="C18" s="151">
        <v>43405</v>
      </c>
      <c r="D18" s="99">
        <v>43040</v>
      </c>
      <c r="E18" s="32">
        <v>42675</v>
      </c>
      <c r="F18" s="99">
        <v>42309</v>
      </c>
      <c r="G18" s="99">
        <f>G1</f>
        <v>41944</v>
      </c>
      <c r="H18" s="99">
        <v>41579</v>
      </c>
      <c r="I18" s="99">
        <v>41214</v>
      </c>
      <c r="J18" s="99">
        <v>40848</v>
      </c>
      <c r="K18" s="99">
        <v>40483</v>
      </c>
      <c r="L18" s="99">
        <v>40118</v>
      </c>
      <c r="M18" s="99">
        <v>39753</v>
      </c>
      <c r="N18" s="48">
        <v>39387</v>
      </c>
      <c r="O18" s="12"/>
      <c r="P18" s="10"/>
      <c r="Q18" s="10"/>
      <c r="R18" s="117"/>
      <c r="S18" s="117"/>
    </row>
    <row r="19" spans="1:19" ht="12.75">
      <c r="A19" s="126" t="s">
        <v>151</v>
      </c>
      <c r="B19" s="101">
        <f aca="true" t="shared" si="2" ref="B19:B31">(C19-D19)/D19</f>
        <v>0.28707661400478285</v>
      </c>
      <c r="C19" s="188">
        <f>Belgium!C19</f>
        <v>306238</v>
      </c>
      <c r="D19" s="102">
        <f>Belgium!D19</f>
        <v>237933</v>
      </c>
      <c r="E19" s="102">
        <f>Belgium!E19</f>
        <v>269229</v>
      </c>
      <c r="F19" s="102">
        <f>Belgium!F19</f>
        <v>314046</v>
      </c>
      <c r="G19" s="102">
        <f>Belgium!G19</f>
        <v>278262</v>
      </c>
      <c r="H19" s="102">
        <f>Belgium!H19</f>
        <v>249007</v>
      </c>
      <c r="I19" s="102">
        <f>Belgium!I$19</f>
        <v>171159</v>
      </c>
      <c r="J19" s="102">
        <f>Belgium!J$19</f>
        <v>208266</v>
      </c>
      <c r="K19" s="102">
        <f>Belgium!K$19</f>
        <v>170902.3812635379</v>
      </c>
      <c r="L19" s="102">
        <f>Belgium!L$19</f>
        <v>169806</v>
      </c>
      <c r="M19" s="102">
        <f>Belgium!M$19</f>
        <v>82755</v>
      </c>
      <c r="N19" s="103">
        <f>Belgium!N$19</f>
        <v>146350</v>
      </c>
      <c r="P19" s="12"/>
      <c r="Q19" s="12"/>
      <c r="R19" s="13"/>
      <c r="S19" s="13"/>
    </row>
    <row r="20" spans="1:19" ht="12.75">
      <c r="A20" s="26" t="s">
        <v>30</v>
      </c>
      <c r="B20" s="34">
        <f t="shared" si="2"/>
        <v>0.1280370227535673</v>
      </c>
      <c r="C20" s="186">
        <f>'Czech Republic'!C$21</f>
        <v>2925</v>
      </c>
      <c r="D20" s="13">
        <f>'Czech Republic'!D$21</f>
        <v>2593</v>
      </c>
      <c r="E20" s="13">
        <f>'Czech Republic'!E$21</f>
        <v>1973</v>
      </c>
      <c r="F20" s="13">
        <f>'Czech Republic'!F$21</f>
        <v>4783</v>
      </c>
      <c r="G20" s="13">
        <f>'Czech Republic'!G$21</f>
        <v>835</v>
      </c>
      <c r="H20" s="13">
        <f>'Czech Republic'!H$21</f>
        <v>3380</v>
      </c>
      <c r="I20" s="13">
        <f>'Czech Republic'!I$21</f>
        <v>1281</v>
      </c>
      <c r="J20" s="13">
        <f>'Czech Republic'!J$21</f>
        <v>1459</v>
      </c>
      <c r="K20" s="13">
        <f>'Czech Republic'!K$21</f>
        <v>1237</v>
      </c>
      <c r="L20" s="13">
        <f>'Czech Republic'!L$21</f>
        <v>939</v>
      </c>
      <c r="M20" s="13">
        <f>'Czech Republic'!M$21</f>
        <v>0</v>
      </c>
      <c r="N20" s="45">
        <f>'Czech Republic'!N$21</f>
        <v>321</v>
      </c>
      <c r="P20" s="12"/>
      <c r="Q20" s="12"/>
      <c r="R20" s="13"/>
      <c r="S20" s="13"/>
    </row>
    <row r="21" spans="1:19" ht="12.75">
      <c r="A21" s="26" t="s">
        <v>39</v>
      </c>
      <c r="B21" s="34"/>
      <c r="C21" s="186">
        <f>Denmark!C$26</f>
        <v>1089</v>
      </c>
      <c r="D21" s="13">
        <f>Denmark!D$26</f>
        <v>0</v>
      </c>
      <c r="E21" s="13">
        <f>Denmark!E$26</f>
        <v>456</v>
      </c>
      <c r="F21" s="13">
        <f>Denmark!F$26</f>
        <v>2331</v>
      </c>
      <c r="G21" s="13">
        <f>Denmark!G$26</f>
        <v>215</v>
      </c>
      <c r="H21" s="13">
        <f>Denmark!H$26</f>
        <v>2256</v>
      </c>
      <c r="I21" s="13">
        <f>Denmark!I$26</f>
        <v>0</v>
      </c>
      <c r="J21" s="13">
        <f>Denmark!J$26</f>
        <v>859</v>
      </c>
      <c r="K21" s="13">
        <f>Denmark!K$26</f>
        <v>634</v>
      </c>
      <c r="L21" s="13">
        <f>Denmark!L$26</f>
        <v>1038</v>
      </c>
      <c r="M21" s="13">
        <f>Denmark!M$26</f>
        <v>2207</v>
      </c>
      <c r="N21" s="45">
        <f>Denmark!N$26</f>
        <v>458</v>
      </c>
      <c r="P21" s="12"/>
      <c r="Q21" s="87"/>
      <c r="R21" s="13"/>
      <c r="S21" s="13"/>
    </row>
    <row r="22" spans="1:19" ht="14.25">
      <c r="A22" s="26" t="s">
        <v>132</v>
      </c>
      <c r="B22" s="34">
        <f t="shared" si="2"/>
        <v>0.30797171953038854</v>
      </c>
      <c r="C22" s="186">
        <f>France!C$38</f>
        <v>20165</v>
      </c>
      <c r="D22" s="13">
        <f>France!D$38</f>
        <v>15417</v>
      </c>
      <c r="E22" s="13">
        <f>France!E$38</f>
        <v>14562</v>
      </c>
      <c r="F22" s="147">
        <f>France!F$38</f>
        <v>13990</v>
      </c>
      <c r="G22" s="147">
        <f>France!G$38</f>
        <v>13594</v>
      </c>
      <c r="H22" s="147">
        <f>France!H$38</f>
        <v>14403</v>
      </c>
      <c r="I22" s="147">
        <f>France!I$38</f>
        <v>8469</v>
      </c>
      <c r="J22" s="147">
        <f>France!J$38</f>
        <v>14541</v>
      </c>
      <c r="K22" s="147">
        <f>France!K$38</f>
        <v>0</v>
      </c>
      <c r="L22" s="13">
        <f>France!L$38</f>
        <v>15357</v>
      </c>
      <c r="M22" s="13">
        <f>France!M$38</f>
        <v>7694</v>
      </c>
      <c r="N22" s="148"/>
      <c r="P22" s="12"/>
      <c r="Q22" s="12"/>
      <c r="R22" s="13"/>
      <c r="S22" s="13"/>
    </row>
    <row r="23" spans="1:19" ht="12.75">
      <c r="A23" s="26" t="s">
        <v>27</v>
      </c>
      <c r="B23" s="34">
        <f t="shared" si="2"/>
        <v>0.6741624598439652</v>
      </c>
      <c r="C23" s="186">
        <f>Germany!C26</f>
        <v>7296</v>
      </c>
      <c r="D23" s="13">
        <f>Germany!D26</f>
        <v>4358</v>
      </c>
      <c r="E23" s="13">
        <f>Germany!E26</f>
        <v>5134</v>
      </c>
      <c r="F23" s="13">
        <f>Germany!F26</f>
        <v>7463</v>
      </c>
      <c r="G23" s="13">
        <f>Germany!G26</f>
        <v>5535</v>
      </c>
      <c r="H23" s="13">
        <f>Germany!H26</f>
        <v>6735</v>
      </c>
      <c r="I23" s="13">
        <f>Germany!I$26</f>
        <v>4766</v>
      </c>
      <c r="J23" s="13">
        <f>Germany!J$26</f>
        <v>8483</v>
      </c>
      <c r="K23" s="13">
        <f>Germany!K$26</f>
        <v>5587</v>
      </c>
      <c r="L23" s="13">
        <f>Germany!L$26</f>
        <v>7485</v>
      </c>
      <c r="M23" s="13">
        <f>Germany!M$26</f>
        <v>3759</v>
      </c>
      <c r="N23" s="45">
        <f>Germany!N$26</f>
        <v>4578</v>
      </c>
      <c r="P23" s="12"/>
      <c r="Q23" s="87"/>
      <c r="R23" s="13"/>
      <c r="S23" s="13"/>
    </row>
    <row r="24" spans="1:19" ht="12.75">
      <c r="A24" s="26" t="s">
        <v>15</v>
      </c>
      <c r="B24" s="34">
        <f t="shared" si="2"/>
        <v>-1</v>
      </c>
      <c r="C24" s="186">
        <f>Italy!C$28</f>
        <v>0</v>
      </c>
      <c r="D24" s="13">
        <f>Italy!D$28</f>
        <v>367675</v>
      </c>
      <c r="E24" s="13">
        <f>Italy!E$28</f>
        <v>331108.9440359691</v>
      </c>
      <c r="F24" s="13">
        <f>Italy!F$28</f>
        <v>404233.16382266936</v>
      </c>
      <c r="G24" s="13">
        <f>Italy!G$28</f>
        <v>402846.67178944475</v>
      </c>
      <c r="H24" s="13">
        <f>Italy!H$28</f>
        <v>491438.3680049517</v>
      </c>
      <c r="I24" s="13">
        <f>Italy!I$28</f>
        <v>0</v>
      </c>
      <c r="J24" s="13">
        <f>Italy!J$28</f>
        <v>0</v>
      </c>
      <c r="K24" s="13">
        <f>Italy!K$28</f>
        <v>0</v>
      </c>
      <c r="L24" s="13">
        <f>Italy!L$28</f>
        <v>0</v>
      </c>
      <c r="M24" s="13">
        <f>Italy!M$28</f>
        <v>0</v>
      </c>
      <c r="N24" s="45">
        <f>Italy!N$28</f>
        <v>0</v>
      </c>
      <c r="P24" s="12"/>
      <c r="Q24" s="87"/>
      <c r="R24" s="13"/>
      <c r="S24" s="13"/>
    </row>
    <row r="25" spans="1:19" ht="12.75">
      <c r="A25" s="52" t="s">
        <v>31</v>
      </c>
      <c r="B25" s="34">
        <f t="shared" si="2"/>
        <v>1</v>
      </c>
      <c r="C25" s="186">
        <f>Poland!C$24</f>
        <v>50000</v>
      </c>
      <c r="D25" s="13">
        <f>Poland!D$24</f>
        <v>25000</v>
      </c>
      <c r="E25" s="13">
        <f>Poland!E$24</f>
        <v>30000</v>
      </c>
      <c r="F25" s="75">
        <f>Poland!F$24</f>
        <v>0</v>
      </c>
      <c r="G25" s="75">
        <f>Poland!G$24</f>
        <v>45000</v>
      </c>
      <c r="H25" s="75">
        <f>Poland!H$24</f>
        <v>40000</v>
      </c>
      <c r="I25" s="75">
        <f>Poland!I$24</f>
        <v>0</v>
      </c>
      <c r="J25" s="75">
        <f>Poland!J$24</f>
        <v>0</v>
      </c>
      <c r="K25" s="75">
        <f>Poland!K$24</f>
        <v>0</v>
      </c>
      <c r="L25" s="75">
        <f>Poland!L$24</f>
        <v>0</v>
      </c>
      <c r="M25" s="75">
        <f>Poland!M$24</f>
        <v>0</v>
      </c>
      <c r="N25" s="77">
        <f>Poland!N$24</f>
        <v>0</v>
      </c>
      <c r="P25" s="87"/>
      <c r="Q25" s="87"/>
      <c r="R25" s="13"/>
      <c r="S25" s="13"/>
    </row>
    <row r="26" spans="1:19" ht="12.75">
      <c r="A26" s="52" t="s">
        <v>179</v>
      </c>
      <c r="B26" s="34"/>
      <c r="C26" s="186">
        <f>Portugal!C$14</f>
        <v>0</v>
      </c>
      <c r="D26" s="13">
        <f>Portugal!D$14</f>
        <v>0</v>
      </c>
      <c r="E26" s="13">
        <f>Portugal!E$14</f>
        <v>102800</v>
      </c>
      <c r="F26" s="75">
        <f>Portugal!F$14</f>
        <v>78742</v>
      </c>
      <c r="G26" s="75">
        <f>Portugal!G$14</f>
        <v>130473</v>
      </c>
      <c r="H26" s="75">
        <f>Portugal!H$14</f>
        <v>121915</v>
      </c>
      <c r="I26" s="75">
        <f>Portugal!I$14</f>
        <v>61341</v>
      </c>
      <c r="J26" s="75">
        <f>Portugal!J$14</f>
        <v>119764</v>
      </c>
      <c r="K26" s="75">
        <v>10590</v>
      </c>
      <c r="L26" s="75">
        <v>91390</v>
      </c>
      <c r="M26" s="75">
        <f>Portugal!M$14</f>
        <v>0</v>
      </c>
      <c r="N26" s="77">
        <f>Portugal!N$14</f>
        <v>0</v>
      </c>
      <c r="P26" s="87"/>
      <c r="Q26" s="87"/>
      <c r="R26" s="13"/>
      <c r="S26" s="13"/>
    </row>
    <row r="27" spans="1:19" ht="12.75">
      <c r="A27" s="26" t="s">
        <v>36</v>
      </c>
      <c r="B27" s="34">
        <f t="shared" si="2"/>
        <v>-0.10542937317285411</v>
      </c>
      <c r="C27" s="186">
        <f>Spain!C$17</f>
        <v>91494</v>
      </c>
      <c r="D27" s="13">
        <f>Spain!D$17</f>
        <v>102277</v>
      </c>
      <c r="E27" s="13">
        <f>Spain!E$17</f>
        <v>100334.9610368128</v>
      </c>
      <c r="F27" s="13">
        <f>Spain!F$17</f>
        <v>90258.08350316797</v>
      </c>
      <c r="G27" s="13">
        <f>Spain!G$17</f>
        <v>113397</v>
      </c>
      <c r="H27" s="13">
        <f>Spain!H$17</f>
        <v>130779</v>
      </c>
      <c r="I27" s="13">
        <f>Spain!I$17</f>
        <v>88610</v>
      </c>
      <c r="J27" s="13">
        <f>Spain!J$17</f>
        <v>147143</v>
      </c>
      <c r="K27" s="13">
        <f>Spain!K$17</f>
        <v>143684</v>
      </c>
      <c r="L27" s="13">
        <f>Spain!L$17</f>
        <v>107410</v>
      </c>
      <c r="M27" s="13">
        <f>Spain!M$17</f>
        <v>121562</v>
      </c>
      <c r="N27" s="45">
        <f>Spain!N$17</f>
        <v>132509</v>
      </c>
      <c r="P27" s="12"/>
      <c r="Q27" s="87"/>
      <c r="R27" s="13"/>
      <c r="S27" s="13"/>
    </row>
    <row r="28" spans="1:19" ht="12.75">
      <c r="A28" s="26" t="s">
        <v>59</v>
      </c>
      <c r="B28" s="34">
        <f t="shared" si="2"/>
        <v>1.762220191868433</v>
      </c>
      <c r="C28" s="186">
        <f>Switzerland!C$28</f>
        <v>12093</v>
      </c>
      <c r="D28" s="13">
        <f>Switzerland!D$28</f>
        <v>4378</v>
      </c>
      <c r="E28" s="13">
        <f>Switzerland!E$28</f>
        <v>8662</v>
      </c>
      <c r="F28" s="13">
        <f>Switzerland!F$28</f>
        <v>9649</v>
      </c>
      <c r="G28" s="13">
        <f>Switzerland!G$28</f>
        <v>11279</v>
      </c>
      <c r="H28" s="13">
        <f>Switzerland!H$28</f>
        <v>9697</v>
      </c>
      <c r="I28" s="13">
        <f>Switzerland!I$28</f>
        <v>7683</v>
      </c>
      <c r="J28" s="13">
        <f>Switzerland!J$28</f>
        <v>13289</v>
      </c>
      <c r="K28" s="13">
        <f>Switzerland!K$28</f>
        <v>7264</v>
      </c>
      <c r="L28" s="13">
        <f>Switzerland!L$28</f>
        <v>13299</v>
      </c>
      <c r="M28" s="13">
        <f>Switzerland!M$28</f>
        <v>5167</v>
      </c>
      <c r="N28" s="45">
        <f>Switzerland!N$28</f>
        <v>13686</v>
      </c>
      <c r="P28" s="12"/>
      <c r="Q28" s="87"/>
      <c r="R28" s="13"/>
      <c r="S28" s="13"/>
    </row>
    <row r="29" spans="1:19" ht="12.75">
      <c r="A29" s="26" t="s">
        <v>0</v>
      </c>
      <c r="B29" s="34">
        <f t="shared" si="2"/>
        <v>0.21543037879358376</v>
      </c>
      <c r="C29" s="186">
        <f>Netherlands!C$15</f>
        <v>290514.6</v>
      </c>
      <c r="D29" s="13">
        <f>Netherlands!D$15</f>
        <v>239022</v>
      </c>
      <c r="E29" s="13">
        <f>Netherlands!E$15</f>
        <v>269149</v>
      </c>
      <c r="F29" s="13">
        <f>Netherlands!F$15</f>
        <v>251452</v>
      </c>
      <c r="G29" s="13">
        <f>Netherlands!G$15</f>
        <v>250768</v>
      </c>
      <c r="H29" s="13">
        <f>Netherlands!H$15</f>
        <v>248626</v>
      </c>
      <c r="I29" s="13">
        <f>Netherlands!I$15</f>
        <v>145000</v>
      </c>
      <c r="J29" s="13">
        <f>Netherlands!J$15</f>
        <v>226000</v>
      </c>
      <c r="K29" s="13">
        <f>Netherlands!K$15</f>
        <v>187000</v>
      </c>
      <c r="L29" s="13">
        <f>Netherlands!L$15</f>
        <v>210000</v>
      </c>
      <c r="M29" s="13">
        <f>Netherlands!M$15</f>
        <v>112000</v>
      </c>
      <c r="N29" s="45">
        <f>Netherlands!N$15</f>
        <v>162000</v>
      </c>
      <c r="P29" s="12"/>
      <c r="Q29" s="87"/>
      <c r="R29" s="13"/>
      <c r="S29" s="13"/>
    </row>
    <row r="30" spans="1:19" ht="13.5" thickBot="1">
      <c r="A30" s="37" t="s">
        <v>178</v>
      </c>
      <c r="B30" s="35">
        <f t="shared" si="2"/>
        <v>-1</v>
      </c>
      <c r="C30" s="187">
        <f>UK!C$19</f>
        <v>0</v>
      </c>
      <c r="D30" s="15">
        <f>UK!D$19</f>
        <v>17698</v>
      </c>
      <c r="E30" s="13">
        <f>UK!E$19</f>
        <v>0</v>
      </c>
      <c r="F30" s="15">
        <f>UK!F$19</f>
        <v>22500</v>
      </c>
      <c r="G30" s="15">
        <f>UK!G$19</f>
        <v>18000</v>
      </c>
      <c r="H30" s="15">
        <f>UK!H$19</f>
        <v>0</v>
      </c>
      <c r="I30" s="15">
        <f>UK!I$19</f>
        <v>0</v>
      </c>
      <c r="J30" s="15">
        <f>UK!J$19</f>
        <v>0</v>
      </c>
      <c r="K30" s="15">
        <f>UK!K$19</f>
        <v>29500</v>
      </c>
      <c r="L30" s="15">
        <f>UK!L$19</f>
        <v>23200</v>
      </c>
      <c r="M30" s="15">
        <f>UK!M$19</f>
        <v>19800</v>
      </c>
      <c r="N30" s="46">
        <f>UK!N$19</f>
        <v>20800</v>
      </c>
      <c r="P30" s="12"/>
      <c r="Q30" s="87"/>
      <c r="R30" s="13"/>
      <c r="S30" s="13"/>
    </row>
    <row r="31" spans="1:19" ht="13.5" thickBot="1">
      <c r="A31" s="39" t="s">
        <v>22</v>
      </c>
      <c r="B31" s="40">
        <f t="shared" si="2"/>
        <v>-0.23076319106293006</v>
      </c>
      <c r="C31" s="96">
        <f>SUM(C19:C30)</f>
        <v>781814.6</v>
      </c>
      <c r="D31" s="41">
        <f>SUM(D19:D30)</f>
        <v>1016351</v>
      </c>
      <c r="E31" s="84">
        <f aca="true" t="shared" si="3" ref="E31:N31">SUM(E19:E30)</f>
        <v>1133408.905072782</v>
      </c>
      <c r="F31" s="41">
        <f t="shared" si="3"/>
        <v>1199447.2473258371</v>
      </c>
      <c r="G31" s="41">
        <f t="shared" si="3"/>
        <v>1270204.6717894448</v>
      </c>
      <c r="H31" s="41">
        <f t="shared" si="3"/>
        <v>1318236.3680049516</v>
      </c>
      <c r="I31" s="41">
        <f t="shared" si="3"/>
        <v>488309</v>
      </c>
      <c r="J31" s="41">
        <f t="shared" si="3"/>
        <v>739804</v>
      </c>
      <c r="K31" s="41">
        <f t="shared" si="3"/>
        <v>556398.3812635379</v>
      </c>
      <c r="L31" s="41">
        <f t="shared" si="3"/>
        <v>639924</v>
      </c>
      <c r="M31" s="41">
        <f t="shared" si="3"/>
        <v>354944</v>
      </c>
      <c r="N31" s="47">
        <f t="shared" si="3"/>
        <v>480702</v>
      </c>
      <c r="P31" s="10"/>
      <c r="Q31" s="12"/>
      <c r="R31" s="13"/>
      <c r="S31" s="13"/>
    </row>
    <row r="32" spans="1:19" ht="12.75">
      <c r="A32" s="3"/>
      <c r="R32" s="1"/>
      <c r="S32" s="1"/>
    </row>
    <row r="33" spans="1:19" ht="12.75">
      <c r="A33" s="58" t="s">
        <v>180</v>
      </c>
      <c r="L33" s="118"/>
      <c r="M33" s="118"/>
      <c r="N33" s="1"/>
      <c r="P33" s="87"/>
      <c r="R33" s="1"/>
      <c r="S33" s="1"/>
    </row>
    <row r="34" spans="1:19" ht="12.75">
      <c r="A34" s="58"/>
      <c r="B34" s="12"/>
      <c r="C34" s="13"/>
      <c r="E34" s="12"/>
      <c r="F34" s="12"/>
      <c r="G34" s="12"/>
      <c r="H34" s="12"/>
      <c r="I34" s="12"/>
      <c r="J34" s="12"/>
      <c r="K34" s="12"/>
      <c r="L34" s="12"/>
      <c r="M34" s="12"/>
      <c r="N34" s="1"/>
      <c r="P34" s="58"/>
      <c r="R34" s="1"/>
      <c r="S34" s="1"/>
    </row>
    <row r="35" spans="1:16" ht="12.75">
      <c r="A35" s="79"/>
      <c r="B35" s="12"/>
      <c r="C35" s="13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79"/>
    </row>
    <row r="36" spans="1:16" ht="12.75">
      <c r="A36" s="12"/>
      <c r="B36" s="12"/>
      <c r="C36" s="13"/>
      <c r="E36" s="12"/>
      <c r="F36" s="12"/>
      <c r="G36" s="12"/>
      <c r="H36" s="12"/>
      <c r="I36" s="12"/>
      <c r="J36" s="12"/>
      <c r="K36" s="12"/>
      <c r="L36" s="12"/>
      <c r="M36" s="12"/>
      <c r="N36" s="13"/>
      <c r="O36" s="12"/>
      <c r="P36" s="12"/>
    </row>
    <row r="37" spans="1:17" ht="15" customHeight="1">
      <c r="A37" s="21"/>
      <c r="B37" s="21"/>
      <c r="C37" s="22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1"/>
      <c r="P37" s="21"/>
      <c r="Q37" s="9"/>
    </row>
    <row r="38" spans="1:17" ht="12.75">
      <c r="A38" s="12"/>
      <c r="B38" s="12"/>
      <c r="C38" s="13"/>
      <c r="E38" s="12"/>
      <c r="F38" s="12"/>
      <c r="G38" s="12"/>
      <c r="H38" s="12"/>
      <c r="I38" s="12"/>
      <c r="J38" s="12"/>
      <c r="K38" s="12"/>
      <c r="L38" s="12"/>
      <c r="M38" s="12"/>
      <c r="N38" s="19"/>
      <c r="O38" s="13"/>
      <c r="P38" s="12"/>
      <c r="Q38" s="9"/>
    </row>
    <row r="39" spans="1:17" ht="12.75">
      <c r="A39" s="12"/>
      <c r="B39" s="12"/>
      <c r="C39" s="13"/>
      <c r="E39" s="12"/>
      <c r="F39" s="12"/>
      <c r="G39" s="12"/>
      <c r="H39" s="12"/>
      <c r="I39" s="12"/>
      <c r="J39" s="12"/>
      <c r="K39" s="12"/>
      <c r="L39" s="12"/>
      <c r="M39" s="12"/>
      <c r="N39" s="19"/>
      <c r="O39" s="13"/>
      <c r="P39" s="12"/>
      <c r="Q39" s="9"/>
    </row>
    <row r="40" spans="1:17" ht="12.75">
      <c r="A40" s="12"/>
      <c r="B40" s="12"/>
      <c r="C40" s="13"/>
      <c r="E40" s="12"/>
      <c r="F40" s="12"/>
      <c r="G40" s="12"/>
      <c r="H40" s="12"/>
      <c r="I40" s="12"/>
      <c r="J40" s="12"/>
      <c r="K40" s="12"/>
      <c r="L40" s="12"/>
      <c r="M40" s="12"/>
      <c r="N40" s="19"/>
      <c r="O40" s="13"/>
      <c r="P40" s="12"/>
      <c r="Q40" s="9"/>
    </row>
    <row r="41" spans="1:17" ht="12.75">
      <c r="A41" s="12"/>
      <c r="B41" s="12"/>
      <c r="C41" s="13"/>
      <c r="E41" s="12"/>
      <c r="F41" s="12"/>
      <c r="G41" s="12"/>
      <c r="H41" s="12"/>
      <c r="I41" s="12"/>
      <c r="J41" s="12"/>
      <c r="K41" s="12"/>
      <c r="L41" s="12"/>
      <c r="M41" s="12"/>
      <c r="N41" s="19"/>
      <c r="O41" s="13"/>
      <c r="P41" s="12"/>
      <c r="Q41" s="9"/>
    </row>
    <row r="42" spans="1:17" ht="12.75">
      <c r="A42" s="12"/>
      <c r="B42" s="12"/>
      <c r="C42" s="13"/>
      <c r="E42" s="12"/>
      <c r="F42" s="12"/>
      <c r="G42" s="12"/>
      <c r="H42" s="12"/>
      <c r="I42" s="12"/>
      <c r="J42" s="12"/>
      <c r="K42" s="12"/>
      <c r="L42" s="12"/>
      <c r="M42" s="12"/>
      <c r="N42" s="19"/>
      <c r="O42" s="13"/>
      <c r="P42" s="12"/>
      <c r="Q42" s="9"/>
    </row>
    <row r="43" spans="1:17" ht="12.75">
      <c r="A43" s="12"/>
      <c r="B43" s="12"/>
      <c r="C43" s="13"/>
      <c r="E43" s="12"/>
      <c r="F43" s="12"/>
      <c r="G43" s="12"/>
      <c r="H43" s="12"/>
      <c r="I43" s="12"/>
      <c r="J43" s="12"/>
      <c r="K43" s="12"/>
      <c r="L43" s="12"/>
      <c r="M43" s="12"/>
      <c r="N43" s="19"/>
      <c r="O43" s="13"/>
      <c r="P43" s="12"/>
      <c r="Q43" s="9"/>
    </row>
    <row r="44" spans="1:17" ht="12.75">
      <c r="A44" s="12"/>
      <c r="B44" s="12"/>
      <c r="C44" s="13"/>
      <c r="E44" s="12"/>
      <c r="F44" s="12"/>
      <c r="G44" s="12"/>
      <c r="H44" s="12"/>
      <c r="I44" s="12"/>
      <c r="J44" s="12"/>
      <c r="K44" s="12"/>
      <c r="L44" s="12"/>
      <c r="M44" s="12"/>
      <c r="N44" s="19"/>
      <c r="O44" s="13"/>
      <c r="P44" s="12"/>
      <c r="Q44" s="9"/>
    </row>
    <row r="45" spans="1:17" ht="12.75">
      <c r="A45" s="23"/>
      <c r="B45" s="23"/>
      <c r="C45" s="97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19"/>
      <c r="O45" s="13"/>
      <c r="P45" s="23"/>
      <c r="Q45" s="9"/>
    </row>
    <row r="46" spans="1:17" ht="12.75">
      <c r="A46" s="23"/>
      <c r="B46" s="23"/>
      <c r="C46" s="97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3"/>
      <c r="P46" s="23"/>
      <c r="Q46" s="9"/>
    </row>
    <row r="47" spans="1:17" ht="12.75">
      <c r="A47" s="23"/>
      <c r="B47" s="23"/>
      <c r="C47" s="97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19"/>
      <c r="O47" s="13"/>
      <c r="P47" s="23"/>
      <c r="Q47" s="9"/>
    </row>
    <row r="48" spans="1:17" ht="12.75">
      <c r="A48" s="23"/>
      <c r="B48" s="23"/>
      <c r="C48" s="97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19"/>
      <c r="O48" s="13"/>
      <c r="P48" s="23"/>
      <c r="Q48" s="9"/>
    </row>
    <row r="49" spans="1:17" ht="12.75">
      <c r="A49" s="23"/>
      <c r="B49" s="23"/>
      <c r="C49" s="97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19"/>
      <c r="O49" s="13"/>
      <c r="P49" s="23"/>
      <c r="Q49" s="9"/>
    </row>
    <row r="50" spans="1:17" ht="12.75">
      <c r="A50" s="23"/>
      <c r="B50" s="23"/>
      <c r="C50" s="97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19"/>
      <c r="O50" s="13"/>
      <c r="P50" s="23"/>
      <c r="Q50" s="9"/>
    </row>
    <row r="51" spans="1:17" ht="12.75">
      <c r="A51" s="23"/>
      <c r="B51" s="23"/>
      <c r="C51" s="97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19"/>
      <c r="O51" s="13"/>
      <c r="P51" s="23"/>
      <c r="Q51" s="9"/>
    </row>
    <row r="52" spans="1:17" ht="12.75">
      <c r="A52" s="24"/>
      <c r="B52" s="24"/>
      <c r="C52" s="1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19"/>
      <c r="O52" s="13"/>
      <c r="P52" s="24"/>
      <c r="Q52" s="9"/>
    </row>
    <row r="53" spans="1:17" ht="12.75">
      <c r="A53" s="23"/>
      <c r="B53" s="23"/>
      <c r="C53" s="97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19"/>
      <c r="O53" s="14"/>
      <c r="P53" s="23"/>
      <c r="Q53" s="9"/>
    </row>
    <row r="54" spans="1:16" ht="12.75">
      <c r="A54" s="23"/>
      <c r="B54" s="23"/>
      <c r="C54" s="97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19"/>
      <c r="O54" s="12"/>
      <c r="P54" s="23"/>
    </row>
    <row r="55" spans="1:17" ht="12.75">
      <c r="A55" s="23"/>
      <c r="B55" s="23"/>
      <c r="C55" s="97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19"/>
      <c r="O55" s="13"/>
      <c r="P55" s="23"/>
      <c r="Q55" s="9"/>
    </row>
    <row r="56" spans="1:17" ht="12.75">
      <c r="A56" s="23"/>
      <c r="B56" s="23"/>
      <c r="C56" s="97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19"/>
      <c r="O56" s="13"/>
      <c r="P56" s="23"/>
      <c r="Q56" s="9"/>
    </row>
    <row r="57" spans="1:17" ht="12.75">
      <c r="A57" s="23"/>
      <c r="B57" s="23"/>
      <c r="C57" s="97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19"/>
      <c r="O57" s="13"/>
      <c r="P57" s="23"/>
      <c r="Q57" s="9"/>
    </row>
    <row r="58" spans="1:17" ht="12.75">
      <c r="A58" s="23"/>
      <c r="B58" s="23"/>
      <c r="C58" s="97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19"/>
      <c r="O58" s="13"/>
      <c r="P58" s="23"/>
      <c r="Q58" s="9"/>
    </row>
    <row r="59" spans="1:17" ht="12.75">
      <c r="A59" s="23"/>
      <c r="B59" s="23"/>
      <c r="C59" s="97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19"/>
      <c r="O59" s="13"/>
      <c r="P59" s="23"/>
      <c r="Q59" s="9"/>
    </row>
    <row r="60" spans="1:17" ht="12.75">
      <c r="A60" s="23"/>
      <c r="B60" s="23"/>
      <c r="C60" s="97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19"/>
      <c r="O60" s="14"/>
      <c r="P60" s="23"/>
      <c r="Q60" s="9"/>
    </row>
    <row r="61" spans="1:16" ht="26.25" customHeight="1">
      <c r="A61" s="18"/>
      <c r="B61" s="18"/>
      <c r="C61" s="189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20"/>
      <c r="O61" s="12"/>
      <c r="P61" s="18"/>
    </row>
    <row r="62" spans="1:16" ht="12.75">
      <c r="A62" s="12"/>
      <c r="B62" s="12"/>
      <c r="C62" s="13"/>
      <c r="E62" s="12"/>
      <c r="F62" s="12"/>
      <c r="G62" s="12"/>
      <c r="H62" s="12"/>
      <c r="I62" s="12"/>
      <c r="J62" s="12"/>
      <c r="K62" s="12"/>
      <c r="L62" s="12"/>
      <c r="M62" s="12"/>
      <c r="N62" s="13"/>
      <c r="O62" s="12"/>
      <c r="P62" s="12"/>
    </row>
    <row r="63" spans="1:16" ht="12.75">
      <c r="A63" s="12"/>
      <c r="B63" s="12"/>
      <c r="C63" s="13"/>
      <c r="E63" s="12"/>
      <c r="F63" s="12"/>
      <c r="G63" s="12"/>
      <c r="H63" s="12"/>
      <c r="I63" s="12"/>
      <c r="J63" s="12"/>
      <c r="K63" s="12"/>
      <c r="L63" s="12"/>
      <c r="M63" s="12"/>
      <c r="N63" s="13"/>
      <c r="O63" s="12"/>
      <c r="P63" s="12"/>
    </row>
    <row r="64" spans="1:16" ht="12.75">
      <c r="A64" s="12"/>
      <c r="B64" s="12"/>
      <c r="C64" s="13"/>
      <c r="E64" s="12"/>
      <c r="F64" s="12"/>
      <c r="G64" s="12"/>
      <c r="H64" s="12"/>
      <c r="I64" s="12"/>
      <c r="J64" s="12"/>
      <c r="K64" s="12"/>
      <c r="L64" s="12"/>
      <c r="M64" s="12"/>
      <c r="N64" s="13"/>
      <c r="O64" s="12"/>
      <c r="P64" s="12"/>
    </row>
    <row r="65" spans="1:16" ht="12.75">
      <c r="A65" s="12"/>
      <c r="B65" s="12"/>
      <c r="C65" s="13"/>
      <c r="E65" s="12"/>
      <c r="F65" s="12"/>
      <c r="G65" s="12"/>
      <c r="H65" s="12"/>
      <c r="I65" s="12"/>
      <c r="J65" s="12"/>
      <c r="K65" s="12"/>
      <c r="L65" s="12"/>
      <c r="M65" s="12"/>
      <c r="N65" s="17"/>
      <c r="O65" s="12"/>
      <c r="P65" s="12"/>
    </row>
    <row r="66" spans="1:16" ht="12.75">
      <c r="A66" s="12"/>
      <c r="B66" s="12"/>
      <c r="C66" s="13"/>
      <c r="E66" s="12"/>
      <c r="F66" s="12"/>
      <c r="G66" s="12"/>
      <c r="H66" s="12"/>
      <c r="I66" s="12"/>
      <c r="J66" s="12"/>
      <c r="K66" s="12"/>
      <c r="L66" s="12"/>
      <c r="M66" s="12"/>
      <c r="N66" s="17"/>
      <c r="O66" s="12"/>
      <c r="P66" s="12"/>
    </row>
    <row r="67" spans="1:16" ht="12.75">
      <c r="A67" s="12"/>
      <c r="B67" s="12"/>
      <c r="C67" s="13"/>
      <c r="E67" s="12"/>
      <c r="F67" s="12"/>
      <c r="G67" s="12"/>
      <c r="H67" s="12"/>
      <c r="I67" s="12"/>
      <c r="J67" s="12"/>
      <c r="K67" s="12"/>
      <c r="L67" s="12"/>
      <c r="M67" s="12"/>
      <c r="N67" s="13"/>
      <c r="O67" s="12"/>
      <c r="P67" s="12"/>
    </row>
    <row r="68" spans="1:16" ht="12.75">
      <c r="A68" s="12"/>
      <c r="B68" s="12"/>
      <c r="C68" s="13"/>
      <c r="E68" s="12"/>
      <c r="F68" s="12"/>
      <c r="G68" s="12"/>
      <c r="H68" s="12"/>
      <c r="I68" s="12"/>
      <c r="J68" s="12"/>
      <c r="K68" s="12"/>
      <c r="L68" s="12"/>
      <c r="M68" s="12"/>
      <c r="N68" s="13"/>
      <c r="O68" s="12"/>
      <c r="P68" s="12"/>
    </row>
    <row r="69" spans="1:16" ht="12.75">
      <c r="A69" s="12"/>
      <c r="B69" s="12"/>
      <c r="C69" s="13"/>
      <c r="E69" s="12"/>
      <c r="F69" s="12"/>
      <c r="G69" s="12"/>
      <c r="H69" s="12"/>
      <c r="I69" s="12"/>
      <c r="J69" s="12"/>
      <c r="K69" s="12"/>
      <c r="L69" s="12"/>
      <c r="M69" s="12"/>
      <c r="N69" s="13"/>
      <c r="O69" s="12"/>
      <c r="P69" s="12"/>
    </row>
    <row r="70" spans="1:16" ht="12.75">
      <c r="A70" s="12"/>
      <c r="B70" s="12"/>
      <c r="C70" s="13"/>
      <c r="E70" s="12"/>
      <c r="F70" s="12"/>
      <c r="G70" s="12"/>
      <c r="H70" s="12"/>
      <c r="I70" s="12"/>
      <c r="J70" s="12"/>
      <c r="K70" s="12"/>
      <c r="L70" s="12"/>
      <c r="M70" s="12"/>
      <c r="N70" s="13"/>
      <c r="O70" s="12"/>
      <c r="P70" s="12"/>
    </row>
    <row r="71" spans="1:16" ht="12.75">
      <c r="A71" s="12"/>
      <c r="B71" s="12"/>
      <c r="C71" s="13"/>
      <c r="E71" s="12"/>
      <c r="F71" s="12"/>
      <c r="G71" s="12"/>
      <c r="H71" s="12"/>
      <c r="I71" s="12"/>
      <c r="J71" s="12"/>
      <c r="K71" s="12"/>
      <c r="L71" s="12"/>
      <c r="M71" s="12"/>
      <c r="N71" s="13"/>
      <c r="O71" s="12"/>
      <c r="P71" s="12"/>
    </row>
    <row r="72" spans="1:16" ht="12.75">
      <c r="A72" s="10"/>
      <c r="B72" s="10"/>
      <c r="C72" s="14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4"/>
      <c r="O72" s="12"/>
      <c r="P72" s="10"/>
    </row>
    <row r="73" spans="1:16" ht="12.75">
      <c r="A73" s="12"/>
      <c r="B73" s="12"/>
      <c r="C73" s="13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2.75">
      <c r="A74" s="12"/>
      <c r="B74" s="12"/>
      <c r="C74" s="13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2.75">
      <c r="A75" s="12"/>
      <c r="B75" s="12"/>
      <c r="C75" s="13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2.75">
      <c r="A76" s="12"/>
      <c r="B76" s="12"/>
      <c r="C76" s="13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2.75">
      <c r="A77" s="10"/>
      <c r="B77" s="10"/>
      <c r="C77" s="14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2"/>
      <c r="O77" s="12"/>
      <c r="P77" s="10"/>
    </row>
    <row r="78" spans="1:16" ht="12.75">
      <c r="A78" s="12"/>
      <c r="B78" s="12"/>
      <c r="C78" s="13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2.75">
      <c r="A79" s="12"/>
      <c r="B79" s="12"/>
      <c r="C79" s="13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46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0.421875" style="0" customWidth="1"/>
    <col min="4" max="4" width="10.7109375" style="0" customWidth="1"/>
  </cols>
  <sheetData>
    <row r="1" spans="1:4" ht="13.5" thickBot="1">
      <c r="A1" s="30" t="s">
        <v>91</v>
      </c>
      <c r="B1" s="55" t="s">
        <v>153</v>
      </c>
      <c r="C1" s="95">
        <v>40483</v>
      </c>
      <c r="D1" s="48">
        <v>40118</v>
      </c>
    </row>
    <row r="2" spans="1:5" ht="12.75">
      <c r="A2" s="52" t="s">
        <v>156</v>
      </c>
      <c r="B2" s="56"/>
      <c r="C2" s="108"/>
      <c r="D2" s="77">
        <f>Italy!L$2</f>
        <v>0</v>
      </c>
      <c r="E2" s="74"/>
    </row>
    <row r="3" spans="1:5" ht="12.75">
      <c r="A3" s="52" t="s">
        <v>3</v>
      </c>
      <c r="B3" s="56">
        <f aca="true" t="shared" si="0" ref="B3:B32">(C3-D3)/D3</f>
        <v>-1</v>
      </c>
      <c r="C3" s="108"/>
      <c r="D3" s="77">
        <f>Austria!L$3+Belgium!L$2+Denmark!L$2+France!L$4+Germany!L$2+Switzerland!L$2+Netherlands!L$2</f>
        <v>41414</v>
      </c>
      <c r="E3" s="3"/>
    </row>
    <row r="4" spans="1:4" ht="12.75">
      <c r="A4" s="52" t="s">
        <v>10</v>
      </c>
      <c r="B4" s="56">
        <f t="shared" si="0"/>
        <v>-1</v>
      </c>
      <c r="C4" s="108"/>
      <c r="D4" s="77">
        <f>Austria!L$4+France!L$5+Germany!L$3+Italy!L$3+Switzerland!L$3+UK!L$2</f>
        <v>145179</v>
      </c>
    </row>
    <row r="5" spans="1:4" ht="12.75">
      <c r="A5" s="52" t="s">
        <v>35</v>
      </c>
      <c r="B5" s="56">
        <f t="shared" si="0"/>
        <v>-1</v>
      </c>
      <c r="C5" s="108"/>
      <c r="D5" s="77">
        <f>UK!L$3</f>
        <v>72000</v>
      </c>
    </row>
    <row r="6" spans="1:4" ht="12.75">
      <c r="A6" s="52" t="s">
        <v>28</v>
      </c>
      <c r="B6" s="56">
        <f t="shared" si="0"/>
        <v>-1</v>
      </c>
      <c r="C6" s="108"/>
      <c r="D6" s="77">
        <f>UK!L$4+France!L$6</f>
        <v>5832</v>
      </c>
    </row>
    <row r="7" spans="1:4" ht="12.75">
      <c r="A7" s="52" t="s">
        <v>32</v>
      </c>
      <c r="B7" s="56"/>
      <c r="C7" s="104"/>
      <c r="D7" s="77"/>
    </row>
    <row r="8" spans="1:4" ht="12.75">
      <c r="A8" s="52" t="s">
        <v>4</v>
      </c>
      <c r="B8" s="56">
        <f t="shared" si="0"/>
        <v>-1</v>
      </c>
      <c r="C8" s="108"/>
      <c r="D8" s="77">
        <f>Belgium!L$3+Denmark!L$4+Germany!L$4+Switzerland!L$4+UK!L$5</f>
        <v>36160</v>
      </c>
    </row>
    <row r="9" spans="1:4" ht="12.75">
      <c r="A9" s="52" t="s">
        <v>60</v>
      </c>
      <c r="B9" s="56"/>
      <c r="C9" s="108"/>
      <c r="D9" s="77"/>
    </row>
    <row r="10" spans="1:4" ht="12.75">
      <c r="A10" s="52" t="s">
        <v>1</v>
      </c>
      <c r="B10" s="56">
        <f t="shared" si="0"/>
        <v>-1</v>
      </c>
      <c r="C10" s="108"/>
      <c r="D10" s="77">
        <f>Austria!L$5+Belgium!L$4+Denmark!L$5+France!L$9+Germany!L$5+Italy!L$5+Switzerland!L$5+Netherlands!L$3+Finland!C$7</f>
        <v>237509.35</v>
      </c>
    </row>
    <row r="11" spans="1:4" ht="12.75">
      <c r="A11" s="52" t="s">
        <v>11</v>
      </c>
      <c r="B11" s="56">
        <f t="shared" si="0"/>
        <v>-1</v>
      </c>
      <c r="C11" s="108"/>
      <c r="D11" s="77">
        <f>Austria!L$7+Denmark!L$6+France!L$10+Germany!L$6+Italy!L$6+Spain!L$2</f>
        <v>45931</v>
      </c>
    </row>
    <row r="12" spans="1:4" ht="12.75">
      <c r="A12" s="52" t="s">
        <v>8</v>
      </c>
      <c r="B12" s="56">
        <f t="shared" si="0"/>
        <v>-1</v>
      </c>
      <c r="C12" s="108"/>
      <c r="D12" s="77">
        <f>Austria!L$8+'Czech Republic'!L$3+Denmark!L$7+France!L$11+Germany!L$7+Italy!L$7+Spain!L$3+Switzerland!L$6+UK!L$6</f>
        <v>206734.7</v>
      </c>
    </row>
    <row r="13" spans="1:4" ht="12.75">
      <c r="A13" s="52" t="s">
        <v>13</v>
      </c>
      <c r="B13" s="56">
        <f t="shared" si="0"/>
        <v>-1</v>
      </c>
      <c r="C13" s="108"/>
      <c r="D13" s="77">
        <f>Austria!L$9+Belgium!L$5+'Czech Republic'!L$4+Denmark!L$8+Germany!L$8+Italy!L$8</f>
        <v>16613.6</v>
      </c>
    </row>
    <row r="14" spans="1:4" ht="12.75">
      <c r="A14" s="52" t="s">
        <v>2</v>
      </c>
      <c r="B14" s="56">
        <f t="shared" si="0"/>
        <v>-1</v>
      </c>
      <c r="C14" s="108"/>
      <c r="D14" s="77">
        <f>Austria!L$10+Belgium!L$6+'Czech Republic'!L$5+France!L$12+Germany!L$9+Italy!L$9+Spain!L$4+Switzerland!L$8+Netherlands!L$4</f>
        <v>543575.55</v>
      </c>
    </row>
    <row r="15" spans="1:4" ht="12.75">
      <c r="A15" s="52" t="s">
        <v>16</v>
      </c>
      <c r="B15" s="56">
        <f t="shared" si="0"/>
        <v>-1</v>
      </c>
      <c r="C15" s="108"/>
      <c r="D15" s="77">
        <f>Austria!L$11+France!L$14+Italy!L$10+Spain!L$5+Switzerland!L$9</f>
        <v>99613.3</v>
      </c>
    </row>
    <row r="16" spans="1:4" ht="12.75">
      <c r="A16" s="52" t="s">
        <v>14</v>
      </c>
      <c r="B16" s="56">
        <f t="shared" si="0"/>
        <v>-1</v>
      </c>
      <c r="C16" s="108"/>
      <c r="D16" s="77">
        <f>Denmark!L$9+Germany!L$10</f>
        <v>8862</v>
      </c>
    </row>
    <row r="17" spans="1:5" ht="12.75">
      <c r="A17" s="52" t="s">
        <v>9</v>
      </c>
      <c r="B17" s="56">
        <f t="shared" si="0"/>
        <v>-1</v>
      </c>
      <c r="C17" s="108"/>
      <c r="D17" s="77">
        <f>Austria!L$12+'Czech Republic'!L$6+Denmark!L$10+France!L$16+Germany!L$11+Italy!L$11+Switzerland!L$10</f>
        <v>69649.95</v>
      </c>
      <c r="E17" s="1"/>
    </row>
    <row r="18" spans="1:5" ht="12.75">
      <c r="A18" s="52" t="s">
        <v>26</v>
      </c>
      <c r="B18" s="56">
        <f t="shared" si="0"/>
        <v>-1</v>
      </c>
      <c r="C18" s="108"/>
      <c r="D18" s="77">
        <f>Austria!L$13+Belgium!L$7+'Czech Republic'!L$7+Denmark!L$12+France!L$18+Germany!L$13+Italy!L$12+Switzerland!L$11+Netherlands!L$5+UK!L$7</f>
        <v>314846.65</v>
      </c>
      <c r="E18" s="1"/>
    </row>
    <row r="19" spans="1:4" ht="12.75">
      <c r="A19" s="52" t="s">
        <v>25</v>
      </c>
      <c r="B19" s="56">
        <f t="shared" si="0"/>
        <v>-1</v>
      </c>
      <c r="C19" s="108"/>
      <c r="D19" s="77">
        <f>Austria!L$14+Belgium!L$8+Denmark!L$13+Germany!L$14+UK!L$8</f>
        <v>140548.1</v>
      </c>
    </row>
    <row r="20" spans="1:4" ht="12.75">
      <c r="A20" s="52" t="s">
        <v>49</v>
      </c>
      <c r="B20" s="56"/>
      <c r="C20" s="108"/>
      <c r="D20" s="77">
        <f>Italy!L$13</f>
        <v>0</v>
      </c>
    </row>
    <row r="21" spans="1:4" ht="12.75">
      <c r="A21" s="52" t="s">
        <v>33</v>
      </c>
      <c r="B21" s="56">
        <f t="shared" si="0"/>
        <v>-1</v>
      </c>
      <c r="C21" s="108"/>
      <c r="D21" s="77">
        <f>Finland!C11</f>
        <v>175</v>
      </c>
    </row>
    <row r="22" spans="1:4" ht="12.75">
      <c r="A22" s="52" t="s">
        <v>17</v>
      </c>
      <c r="B22" s="56"/>
      <c r="C22" s="108"/>
      <c r="D22" s="77">
        <f>Italy!L$14</f>
        <v>0</v>
      </c>
    </row>
    <row r="23" spans="1:7" ht="12.75">
      <c r="A23" s="52" t="s">
        <v>12</v>
      </c>
      <c r="B23" s="56">
        <f t="shared" si="0"/>
        <v>-1</v>
      </c>
      <c r="C23" s="108"/>
      <c r="D23" s="77">
        <f>Austria!L$16+Denmark!L$15+Germany!L$15+Switzerland!L$14</f>
        <v>18384</v>
      </c>
      <c r="G23" s="1"/>
    </row>
    <row r="24" spans="1:4" ht="12.75">
      <c r="A24" s="52" t="s">
        <v>18</v>
      </c>
      <c r="B24" s="56">
        <f t="shared" si="0"/>
        <v>-1</v>
      </c>
      <c r="C24" s="108"/>
      <c r="D24" s="77">
        <f>'Czech Republic'!L$8+France!L$19+Italy!L$15+Spain!L$6</f>
        <v>45572</v>
      </c>
    </row>
    <row r="25" spans="1:4" ht="12.75">
      <c r="A25" s="52" t="s">
        <v>133</v>
      </c>
      <c r="B25" s="56">
        <f t="shared" si="0"/>
        <v>-1</v>
      </c>
      <c r="C25" s="108"/>
      <c r="D25" s="77">
        <f>Germany!L$16+Finland!C$12</f>
        <v>22574</v>
      </c>
    </row>
    <row r="26" spans="1:90" s="4" customFormat="1" ht="13.5" thickBot="1">
      <c r="A26" s="52" t="s">
        <v>123</v>
      </c>
      <c r="B26" s="56">
        <f t="shared" si="0"/>
        <v>-1</v>
      </c>
      <c r="C26" s="108"/>
      <c r="D26" s="77">
        <f>France!L$20+France!L$21+Italy!L$16+Switzerland!L$12</f>
        <v>18297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</row>
    <row r="27" spans="1:4" s="16" customFormat="1" ht="12.75">
      <c r="A27" s="52" t="s">
        <v>89</v>
      </c>
      <c r="B27" s="56">
        <f t="shared" si="0"/>
        <v>-1</v>
      </c>
      <c r="C27" s="108"/>
      <c r="D27" s="77">
        <f>'Czech Republic'!L$9+Germany!L$17</f>
        <v>8897</v>
      </c>
    </row>
    <row r="28" spans="1:4" ht="12.75">
      <c r="A28" s="52" t="s">
        <v>20</v>
      </c>
      <c r="B28" s="56"/>
      <c r="C28" s="108"/>
      <c r="D28" s="77">
        <f>Italy!L$17</f>
        <v>0</v>
      </c>
    </row>
    <row r="29" spans="1:4" ht="12.75">
      <c r="A29" s="52" t="s">
        <v>34</v>
      </c>
      <c r="B29" s="56">
        <f t="shared" si="0"/>
        <v>-1</v>
      </c>
      <c r="C29" s="108"/>
      <c r="D29" s="77">
        <f>'Czech Republic'!L$10+UK!L$9</f>
        <v>1117</v>
      </c>
    </row>
    <row r="30" spans="1:4" ht="12.75">
      <c r="A30" s="52" t="s">
        <v>124</v>
      </c>
      <c r="B30" s="56">
        <f t="shared" si="0"/>
        <v>-1</v>
      </c>
      <c r="C30" s="108"/>
      <c r="D30" s="77">
        <f>Denmark!L$17+France!L$2+Switzerland!L$17+France!L$23+France!L$17+France!L$15+France!L$24+France!L$13+UK!L$10+France!L$8+Germany!L$19</f>
        <v>110289</v>
      </c>
    </row>
    <row r="31" spans="1:6" ht="13.5" thickBot="1">
      <c r="A31" s="53" t="s">
        <v>5</v>
      </c>
      <c r="B31" s="57" t="e">
        <f t="shared" si="0"/>
        <v>#REF!</v>
      </c>
      <c r="C31" s="109"/>
      <c r="D31" s="78" t="e">
        <f>Austria!L$2+Austria!L$15+Austria!L$18+Austria!L$19+Austria!L$20+Belgium!L$9+'Czech Republic'!L$11+Denmark!L$3+Denmark!L$14+Denmark!#REF!+Denmark!L$18+Germany!L$12+Germany!L$18+Germany!L$20+Italy!L$18+Spain!L$7+Switzerland!L$7+Switzerland!L$13+Switzerland!L$15+Switzerland!L$16+Switzerland!L$18+Netherlands!L$7+UK!L$11+France!L$3+France!L$22+France!L$25+Finland!C$17</f>
        <v>#REF!</v>
      </c>
      <c r="F31" s="3"/>
    </row>
    <row r="32" spans="1:4" ht="13.5" thickBot="1">
      <c r="A32" s="39" t="s">
        <v>92</v>
      </c>
      <c r="B32" s="40" t="e">
        <f t="shared" si="0"/>
        <v>#REF!</v>
      </c>
      <c r="C32" s="96">
        <f>SUM(C2:C31)</f>
        <v>0</v>
      </c>
      <c r="D32" s="123" t="e">
        <f>SUM(D2:D31)</f>
        <v>#REF!</v>
      </c>
    </row>
    <row r="34" ht="12.75">
      <c r="A34" s="3" t="s">
        <v>155</v>
      </c>
    </row>
    <row r="35" spans="2:4" ht="13.5" thickBot="1">
      <c r="B35" s="3"/>
      <c r="C35" s="3"/>
      <c r="D35" s="3"/>
    </row>
    <row r="36" spans="1:4" s="61" customFormat="1" ht="13.5" thickBot="1">
      <c r="A36" s="59" t="s">
        <v>91</v>
      </c>
      <c r="B36" s="60" t="s">
        <v>153</v>
      </c>
      <c r="C36" s="95">
        <v>40483</v>
      </c>
      <c r="D36" s="48">
        <v>40118</v>
      </c>
    </row>
    <row r="37" spans="1:4" s="61" customFormat="1" ht="12.75">
      <c r="A37" s="112" t="s">
        <v>104</v>
      </c>
      <c r="B37" s="113"/>
      <c r="C37" s="114"/>
      <c r="D37" s="115">
        <f>Italy!L$23</f>
        <v>0</v>
      </c>
    </row>
    <row r="38" spans="1:4" s="61" customFormat="1" ht="12.75">
      <c r="A38" s="62" t="s">
        <v>37</v>
      </c>
      <c r="B38" s="63">
        <f>(C38-D38)/D38</f>
        <v>-1</v>
      </c>
      <c r="C38" s="105"/>
      <c r="D38" s="82">
        <f>Spain!L$12</f>
        <v>9990</v>
      </c>
    </row>
    <row r="39" spans="1:4" s="58" customFormat="1" ht="12.75">
      <c r="A39" s="62" t="s">
        <v>38</v>
      </c>
      <c r="B39" s="63">
        <f aca="true" t="shared" si="1" ref="B39:B44">(C39-D39)/D39</f>
        <v>-1</v>
      </c>
      <c r="C39" s="105"/>
      <c r="D39" s="82">
        <f>Spain!L$13</f>
        <v>27570</v>
      </c>
    </row>
    <row r="40" spans="1:4" s="58" customFormat="1" ht="12.75">
      <c r="A40" s="62" t="s">
        <v>6</v>
      </c>
      <c r="B40" s="63">
        <f t="shared" si="1"/>
        <v>-1</v>
      </c>
      <c r="C40" s="105"/>
      <c r="D40" s="82">
        <f>Belgium!L$15+Denmark!L$23+Italy!L$24+Spain!L$14+Switzerland!L$24+Netherlands!L$12+UK!L$16+France!L32+'Czech Republic'!L16</f>
        <v>413633</v>
      </c>
    </row>
    <row r="41" spans="1:4" s="58" customFormat="1" ht="12.75">
      <c r="A41" s="62" t="s">
        <v>93</v>
      </c>
      <c r="B41" s="63">
        <f t="shared" si="1"/>
        <v>-1</v>
      </c>
      <c r="C41" s="105"/>
      <c r="D41" s="82">
        <f>Belgium!L$16+Italy!L$25+Netherlands!L$13+UK!L$17+France!L33</f>
        <v>37499</v>
      </c>
    </row>
    <row r="42" spans="1:4" s="58" customFormat="1" ht="12.75">
      <c r="A42" s="62" t="s">
        <v>29</v>
      </c>
      <c r="B42" s="63"/>
      <c r="C42" s="105"/>
      <c r="D42" s="82">
        <f>Italy!L$26</f>
        <v>0</v>
      </c>
    </row>
    <row r="43" spans="1:4" s="58" customFormat="1" ht="13.5" thickBot="1">
      <c r="A43" s="64" t="s">
        <v>5</v>
      </c>
      <c r="B43" s="65">
        <f t="shared" si="1"/>
        <v>-1</v>
      </c>
      <c r="C43" s="106"/>
      <c r="D43" s="83">
        <f>Belgium!L$18+Denmark!L$25+Germany!L$25+Italy!L$27+Spain!L$15+Spain!L$16+Switzerland!L$23+Switzerland!L$25+Switzerland!L$27+Netherlands!L$14+UK!L$18+France!L30+France!L31+France!L34+France!L35+France!L36+France!L37+'Czech Republic'!L17+'Czech Republic'!L20+Finland!C20</f>
        <v>59943</v>
      </c>
    </row>
    <row r="44" spans="1:4" s="58" customFormat="1" ht="13.5" thickBot="1">
      <c r="A44" s="67" t="s">
        <v>92</v>
      </c>
      <c r="B44" s="68">
        <f t="shared" si="1"/>
        <v>-1</v>
      </c>
      <c r="C44" s="107">
        <f>SUM(C37:C43)</f>
        <v>0</v>
      </c>
      <c r="D44" s="124">
        <f>SUM(D37:D43)</f>
        <v>548635</v>
      </c>
    </row>
    <row r="45" s="58" customFormat="1" ht="12.75"/>
    <row r="46" s="58" customFormat="1" ht="12.75">
      <c r="A46" s="61"/>
    </row>
    <row r="47" s="58" customFormat="1" ht="12.75"/>
  </sheetData>
  <sheetProtection/>
  <printOptions/>
  <pageMargins left="0.75" right="0.75" top="1" bottom="1" header="0.5" footer="0.5"/>
  <pageSetup fitToHeight="3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0.7109375" style="1" customWidth="1"/>
    <col min="4" max="4" width="10.7109375" style="9" customWidth="1"/>
    <col min="5" max="13" width="10.7109375" style="0" customWidth="1"/>
  </cols>
  <sheetData>
    <row r="1" spans="1:13" ht="13.5" thickBot="1">
      <c r="A1" s="30" t="s">
        <v>91</v>
      </c>
      <c r="B1" s="31" t="s">
        <v>188</v>
      </c>
      <c r="C1" s="190" t="s">
        <v>189</v>
      </c>
      <c r="D1" s="99">
        <v>43040</v>
      </c>
      <c r="E1" s="32">
        <v>42675</v>
      </c>
      <c r="F1" s="32">
        <v>42309</v>
      </c>
      <c r="G1" s="32">
        <v>41944</v>
      </c>
      <c r="H1" s="32">
        <v>41579</v>
      </c>
      <c r="I1" s="32">
        <v>41214</v>
      </c>
      <c r="J1" s="32">
        <v>40848</v>
      </c>
      <c r="K1" s="32">
        <v>40483</v>
      </c>
      <c r="L1" s="32">
        <v>40118</v>
      </c>
      <c r="M1" s="48">
        <v>39753</v>
      </c>
    </row>
    <row r="2" spans="1:14" ht="12.75">
      <c r="A2" s="52" t="s">
        <v>19</v>
      </c>
      <c r="B2" s="56">
        <f>(C2-D2)/D2</f>
        <v>-1</v>
      </c>
      <c r="C2" s="108">
        <f>Italy!C$2</f>
        <v>0</v>
      </c>
      <c r="D2" s="75">
        <f>Italy!D$2</f>
        <v>26000</v>
      </c>
      <c r="E2" s="13">
        <f>Italy!E$2</f>
        <v>20000</v>
      </c>
      <c r="F2" s="75">
        <f>Italy!F$2</f>
        <v>20000</v>
      </c>
      <c r="G2" s="75">
        <f>Italy!G$2</f>
        <v>0</v>
      </c>
      <c r="H2" s="75">
        <f>Italy!H$2</f>
        <v>0</v>
      </c>
      <c r="I2" s="75">
        <f>Italy!I$2</f>
        <v>0</v>
      </c>
      <c r="J2" s="75">
        <f>Italy!J$2</f>
        <v>0</v>
      </c>
      <c r="K2" s="75">
        <f>Italy!K$2</f>
        <v>0</v>
      </c>
      <c r="L2" s="75">
        <f>Italy!L$2</f>
        <v>0</v>
      </c>
      <c r="M2" s="77">
        <f>Italy!M$2</f>
        <v>0</v>
      </c>
      <c r="N2" s="74"/>
    </row>
    <row r="3" spans="1:14" ht="12.75">
      <c r="A3" s="52" t="s">
        <v>3</v>
      </c>
      <c r="B3" s="56">
        <f aca="true" t="shared" si="0" ref="B3:B32">(C3-D3)/D3</f>
        <v>1.5301652618304904</v>
      </c>
      <c r="C3" s="108">
        <f>Austria!C$3+Belgium!C$2+Denmark!C$2+France!C$4+Germany!C$2+Switzerland!C$2+Netherlands!C$2+Poland!C$2</f>
        <v>38122</v>
      </c>
      <c r="D3" s="75">
        <f>Austria!D$3+Belgium!D$2+Denmark!D$2+France!D$4+Germany!D$2+Switzerland!D$2+Netherlands!D$2+Poland!D$2</f>
        <v>15067</v>
      </c>
      <c r="E3" s="13">
        <f>Austria!E$3+Belgium!E$2+Denmark!E$2+France!E$4+Germany!E$2+Switzerland!E$2+Netherlands!E$2+Poland!E$2</f>
        <v>36028.21</v>
      </c>
      <c r="F3" s="75">
        <f>Austria!F$3+Belgium!F$2+Denmark!F$2+France!F$4+Germany!F$2+Switzerland!F$2+Netherlands!F$2+Poland!F$2</f>
        <v>38872.05</v>
      </c>
      <c r="G3" s="75">
        <f>Austria!G$3+Belgium!G$2+Denmark!G$2+France!G$4+Germany!G$2+Switzerland!G$2+Netherlands!G$2+Poland!G$2</f>
        <v>43369.92</v>
      </c>
      <c r="H3" s="75">
        <f>Austria!H$3+Belgium!H$2+Denmark!H$2+France!H$4+Germany!H$2+Switzerland!H$2+Netherlands!H$2+Poland!H$2</f>
        <v>32457</v>
      </c>
      <c r="I3" s="75">
        <f>Austria!I$3+Belgium!I$2+Denmark!I$2+France!I$4+Germany!I$2+Switzerland!I$2+Netherlands!I$2+Poland!I$2</f>
        <v>28700</v>
      </c>
      <c r="J3" s="75">
        <f>Austria!J$3+Belgium!J$2+Denmark!J$2+France!J$4+Germany!J$2+Switzerland!J$2+Netherlands!J$2+Poland!J$2</f>
        <v>33344</v>
      </c>
      <c r="K3" s="75">
        <f>Austria!K$3+Belgium!K$2+Denmark!K$2+France!K$4+Germany!K$2+Switzerland!K$2+Netherlands!K$2+Poland!K$2</f>
        <v>31407</v>
      </c>
      <c r="L3" s="75">
        <f>Austria!L$3+Belgium!L$2+Denmark!L$2+France!L$4+Germany!L$2+Switzerland!L$2+Netherlands!L$2+Poland!L$2</f>
        <v>41414</v>
      </c>
      <c r="M3" s="77">
        <f>Austria!M$3+Belgium!M$2+Denmark!M$2+France!M$4+Germany!M$2+Switzerland!M$2+Netherlands!M$2+Poland!M$2</f>
        <v>48040</v>
      </c>
      <c r="N3" s="3"/>
    </row>
    <row r="4" spans="1:13" ht="12.75">
      <c r="A4" s="52" t="s">
        <v>10</v>
      </c>
      <c r="B4" s="56">
        <f t="shared" si="0"/>
        <v>-0.09294855724159719</v>
      </c>
      <c r="C4" s="108">
        <f>Austria!C$4+France!C$5+Germany!C$3+Italy!C$3+Switzerland!C$3+UK!C$2+'Czech Republic'!C2</f>
        <v>119395</v>
      </c>
      <c r="D4" s="75">
        <f>Austria!D$4+France!D$5+Germany!D$3+Italy!D$3+Switzerland!D$3+UK!D$2+'Czech Republic'!D2</f>
        <v>131629.8</v>
      </c>
      <c r="E4" s="13">
        <f>Austria!E$4+France!E$5+Germany!E$3+Italy!E$3+Switzerland!E$3+UK!E$2+'Czech Republic'!E2</f>
        <v>165969.1</v>
      </c>
      <c r="F4" s="75">
        <f>Austria!F$4+France!F$5+Germany!F$3+Italy!F$3+Switzerland!F$3+UK!F$2+'Czech Republic'!F2</f>
        <v>219407.99</v>
      </c>
      <c r="G4" s="75">
        <f>Austria!G$4+France!G$5+Germany!G$3+Italy!G$3+Switzerland!G$3+UK!G$2+'Czech Republic'!G2</f>
        <v>137397.08000000002</v>
      </c>
      <c r="H4" s="75">
        <f>Austria!H$4+France!H$5+Germany!H$3+Italy!H$3+Switzerland!H$3+UK!H$2+'Czech Republic'!H2</f>
        <v>94454</v>
      </c>
      <c r="I4" s="75">
        <f>Austria!I$4+France!I$5+Germany!I$3+Italy!I$3+Switzerland!I$3+UK!I$2+'Czech Republic'!I2</f>
        <v>93178</v>
      </c>
      <c r="J4" s="75">
        <f>Austria!J$4+France!J$5+Germany!J$3+Italy!J$3+Switzerland!J$3+UK!J$2+'Czech Republic'!J2</f>
        <v>107629</v>
      </c>
      <c r="K4" s="75">
        <f>Austria!K$4+France!K$5+Germany!K$3+Italy!K$3+Switzerland!K$3+UK!K$2+'Czech Republic'!K2</f>
        <v>122629</v>
      </c>
      <c r="L4" s="75">
        <f>Austria!L$4+France!L$5+Germany!L$3+Italy!L$3+Switzerland!L$3+UK!L$2+'Czech Republic'!L2</f>
        <v>145179</v>
      </c>
      <c r="M4" s="77">
        <f>Austria!M$4+France!M$5+Germany!M$3+Italy!M$3+Switzerland!M$3+UK!M$2+'Czech Republic'!M2</f>
        <v>104410</v>
      </c>
    </row>
    <row r="5" spans="1:13" ht="12.75">
      <c r="A5" s="52" t="s">
        <v>35</v>
      </c>
      <c r="B5" s="56">
        <f t="shared" si="0"/>
        <v>-1</v>
      </c>
      <c r="C5" s="108">
        <f>UK!C$3</f>
        <v>0</v>
      </c>
      <c r="D5" s="75">
        <f>UK!D$3</f>
        <v>46060</v>
      </c>
      <c r="E5" s="13">
        <f>UK!E$3</f>
        <v>0</v>
      </c>
      <c r="F5" s="75">
        <f>UK!F$3</f>
        <v>49000</v>
      </c>
      <c r="G5" s="75">
        <f>UK!G$3</f>
        <v>71000</v>
      </c>
      <c r="H5" s="75">
        <f>UK!H$3</f>
        <v>0</v>
      </c>
      <c r="I5" s="75">
        <f>UK!I$3</f>
        <v>0</v>
      </c>
      <c r="J5" s="75">
        <f>UK!J$3</f>
        <v>0</v>
      </c>
      <c r="K5" s="75">
        <f>UK!K$3</f>
        <v>94000</v>
      </c>
      <c r="L5" s="75">
        <f>UK!L$3</f>
        <v>72000</v>
      </c>
      <c r="M5" s="77">
        <f>UK!M$3</f>
        <v>64000</v>
      </c>
    </row>
    <row r="6" spans="1:13" ht="12.75">
      <c r="A6" s="52" t="s">
        <v>28</v>
      </c>
      <c r="B6" s="56"/>
      <c r="C6" s="108">
        <f>France!C6+UK!C4</f>
        <v>0</v>
      </c>
      <c r="D6" s="75">
        <f>France!D6+UK!D4</f>
        <v>0</v>
      </c>
      <c r="E6" s="13">
        <f>France!E6+UK!E4</f>
        <v>0</v>
      </c>
      <c r="F6" s="75">
        <f>France!F6+UK!F4</f>
        <v>2000</v>
      </c>
      <c r="G6" s="75">
        <f>France!G7+UK!G4</f>
        <v>2281</v>
      </c>
      <c r="H6" s="75">
        <f>France!H7+UK!H4</f>
        <v>1331</v>
      </c>
      <c r="I6" s="75">
        <f>France!I6+UK!I4</f>
        <v>644</v>
      </c>
      <c r="J6" s="75">
        <f>France!J6+UK!J4</f>
        <v>2521</v>
      </c>
      <c r="K6" s="75">
        <f>France!K6+UK!K4</f>
        <v>2342</v>
      </c>
      <c r="L6" s="75">
        <f>France!L6+UK!L4</f>
        <v>5832</v>
      </c>
      <c r="M6" s="77">
        <f>France!M6+UK!M4</f>
        <v>3906</v>
      </c>
    </row>
    <row r="7" spans="1:13" ht="12.75">
      <c r="A7" s="52" t="s">
        <v>32</v>
      </c>
      <c r="B7" s="56"/>
      <c r="C7" s="108">
        <f>Poland!C$3</f>
        <v>0</v>
      </c>
      <c r="D7" s="75">
        <f>Poland!D$3</f>
        <v>0</v>
      </c>
      <c r="E7" s="13">
        <f>Poland!E$3</f>
        <v>0</v>
      </c>
      <c r="F7" s="75">
        <f>Poland!F$3</f>
        <v>0</v>
      </c>
      <c r="G7" s="75">
        <f>Poland!G$3</f>
        <v>5000</v>
      </c>
      <c r="H7" s="75">
        <f>Poland!H$3</f>
        <v>5000</v>
      </c>
      <c r="I7" s="75">
        <f>Poland!I$3</f>
        <v>10000</v>
      </c>
      <c r="J7" s="75">
        <f>Poland!J$3</f>
        <v>10435</v>
      </c>
      <c r="K7" s="75">
        <f>Poland!K$3</f>
        <v>0</v>
      </c>
      <c r="L7" s="75">
        <f>Poland!L$3</f>
        <v>0</v>
      </c>
      <c r="M7" s="77">
        <f>Poland!M$3</f>
        <v>0</v>
      </c>
    </row>
    <row r="8" spans="1:13" ht="12.75">
      <c r="A8" s="52" t="s">
        <v>4</v>
      </c>
      <c r="B8" s="56">
        <f t="shared" si="0"/>
        <v>-0.924898191116583</v>
      </c>
      <c r="C8" s="108">
        <f>Belgium!C$3+Denmark!C$4+Germany!C$4+Switzerland!C$4+UK!C$5</f>
        <v>1586</v>
      </c>
      <c r="D8" s="75">
        <f>Belgium!D$3+Denmark!D$4+Germany!D$4+Switzerland!D$4+UK!D$5</f>
        <v>21118</v>
      </c>
      <c r="E8" s="13">
        <f>Belgium!E$3+Denmark!E$4+Germany!E$4+Switzerland!E$4+UK!E$5</f>
        <v>1570</v>
      </c>
      <c r="F8" s="75">
        <f>Belgium!F$3+Denmark!F$4+Germany!F$4+Switzerland!F$4+UK!F$5</f>
        <v>24278</v>
      </c>
      <c r="G8" s="75">
        <f>Belgium!G$3+Denmark!G$4+Germany!G$4+Switzerland!G$4+UK!G$5</f>
        <v>19501</v>
      </c>
      <c r="H8" s="75">
        <f>Belgium!H$3+Denmark!H$4+Germany!H$4+Switzerland!H$4+UK!H$5</f>
        <v>2243</v>
      </c>
      <c r="I8" s="75">
        <f>Belgium!I$3+Denmark!I$4+Germany!I$4+Switzerland!I$4+UK!I$5</f>
        <v>1868</v>
      </c>
      <c r="J8" s="75">
        <f>Belgium!J$3+Denmark!J$4+Germany!J$4+Switzerland!J$4+UK!J$5</f>
        <v>2965</v>
      </c>
      <c r="K8" s="75">
        <f>Belgium!K$3+Denmark!K$4+Germany!K$4+Switzerland!K$4+UK!K$5</f>
        <v>37323</v>
      </c>
      <c r="L8" s="75">
        <f>Belgium!L$3+Denmark!L$4+Germany!L$4+Switzerland!L$4+UK!L$5</f>
        <v>36160</v>
      </c>
      <c r="M8" s="77">
        <f>Belgium!M$3+Denmark!M$4+Germany!M$4+Switzerland!M$4+UK!M$5</f>
        <v>39980</v>
      </c>
    </row>
    <row r="9" spans="1:13" ht="12.75">
      <c r="A9" s="52" t="s">
        <v>60</v>
      </c>
      <c r="B9" s="56">
        <f t="shared" si="0"/>
        <v>-0.3368327372810126</v>
      </c>
      <c r="C9" s="108">
        <f>France!C$8+Italy!C$4</f>
        <v>120717</v>
      </c>
      <c r="D9" s="75">
        <f>France!D$8+Italy!D$4</f>
        <v>182031</v>
      </c>
      <c r="E9" s="13">
        <f>France!E$8+Italy!E$4</f>
        <v>179501</v>
      </c>
      <c r="F9" s="75">
        <f>France!F$8+Italy!F$4</f>
        <v>143777</v>
      </c>
      <c r="G9" s="75">
        <f>France!G$8+Italy!G$4</f>
        <v>88654</v>
      </c>
      <c r="H9" s="75">
        <f>France!H$8+Italy!H$4</f>
        <v>79455</v>
      </c>
      <c r="I9" s="75">
        <f>France!I$8+Italy!I$4</f>
        <v>51059</v>
      </c>
      <c r="J9" s="75">
        <f>France!J$8+Italy!J$4</f>
        <v>66278</v>
      </c>
      <c r="K9" s="75">
        <f>France!K$8+Italy!K$4</f>
        <v>57092</v>
      </c>
      <c r="L9" s="75">
        <f>France!L$8+Italy!L$4</f>
        <v>51379</v>
      </c>
      <c r="M9" s="77">
        <f>France!M$8+Italy!M$4</f>
        <v>18072</v>
      </c>
    </row>
    <row r="10" spans="1:13" ht="12.75">
      <c r="A10" s="52" t="s">
        <v>1</v>
      </c>
      <c r="B10" s="56">
        <f t="shared" si="0"/>
        <v>0.3664008871465276</v>
      </c>
      <c r="C10" s="108">
        <f>Austria!C$5+Belgium!C$4+Denmark!C$5+France!C$9+Germany!C$5+Italy!C$5+Switzerland!C$5+Netherlands!C$3+Poland!C$4</f>
        <v>174969</v>
      </c>
      <c r="D10" s="75">
        <f>Austria!D$5+Belgium!D$4+Denmark!D$5+France!D$9+Germany!D$5+Italy!D$5+Switzerland!D$5+Netherlands!D$3+Poland!D$4</f>
        <v>128051</v>
      </c>
      <c r="E10" s="13">
        <f>Austria!E$5+Belgium!E$4+Denmark!E$5+France!E$9+Germany!E$5+Italy!E$5+Switzerland!E$5+Netherlands!E$3+Poland!E$4</f>
        <v>184717.56</v>
      </c>
      <c r="F10" s="75">
        <f>Austria!F$5+Belgium!F$4+Denmark!F$5+France!F$9+Germany!F$5+Italy!F$5+Switzerland!F$5+Netherlands!F$3+Poland!F$4</f>
        <v>202602.34</v>
      </c>
      <c r="G10" s="75">
        <f>Austria!G$5+Belgium!G$4+Denmark!G$5+France!G$9+Germany!G$5+Italy!G$5+Switzerland!G$5+Netherlands!G$3+Poland!G$4</f>
        <v>214191.97999999998</v>
      </c>
      <c r="H10" s="75">
        <f>Austria!H$5+Belgium!H$4+Denmark!H$5+France!H$9+Germany!H$5+Italy!H$5+Switzerland!H$5+Netherlands!H$3+Poland!H$4</f>
        <v>171895</v>
      </c>
      <c r="I10" s="75">
        <f>Austria!I$5+Belgium!I$4+Denmark!I$5+France!I$9+Germany!I$5+Italy!I$5+Switzerland!I$5+Netherlands!I$3+Poland!I$4</f>
        <v>174005</v>
      </c>
      <c r="J10" s="75">
        <f>Austria!J$5+Belgium!J$4+Denmark!J$5+France!J$9+Germany!J$5+Italy!J$5+Switzerland!J$5+Netherlands!J$3+Poland!J$4</f>
        <v>211336</v>
      </c>
      <c r="K10" s="75">
        <f>Austria!K$5+Belgium!K$4+Denmark!K$5+France!K$9+Germany!K$5+Italy!K$5+Switzerland!K$5+Netherlands!K$3+Poland!K$4</f>
        <v>167864</v>
      </c>
      <c r="L10" s="75">
        <f>Austria!L$5+Belgium!L$4+Denmark!L$5+France!L$9+Germany!L$5+Italy!L$5+Switzerland!L$5+Netherlands!L$3+Poland!L$4</f>
        <v>237474.35</v>
      </c>
      <c r="M10" s="77">
        <f>Austria!M$5+Belgium!M$4+Denmark!M$5+France!M$9+Germany!M$5+Italy!M$5+Switzerland!M$5+Netherlands!M$3+Poland!M$4</f>
        <v>185687</v>
      </c>
    </row>
    <row r="11" spans="1:13" ht="12.75">
      <c r="A11" s="52" t="s">
        <v>11</v>
      </c>
      <c r="B11" s="56">
        <f t="shared" si="0"/>
        <v>-0.6781035284068785</v>
      </c>
      <c r="C11" s="108">
        <f>Austria!C$7+Denmark!C$6+France!C$10+Germany!C$6+Italy!C$6+Spain!C$2</f>
        <v>51253</v>
      </c>
      <c r="D11" s="75">
        <f>Austria!D$7+Denmark!D$6+France!D$10+Germany!D$6+Italy!D$6+Spain!D$2</f>
        <v>159222</v>
      </c>
      <c r="E11" s="13">
        <f>Austria!E$7+Denmark!E$6+France!E$10+Germany!E$6+Italy!E$6+Spain!E$2</f>
        <v>178820.3432187347</v>
      </c>
      <c r="F11" s="75">
        <f>Austria!F$7+Denmark!F$6+France!F$10+Germany!F$6+Italy!F$6+Spain!F$2</f>
        <v>190414.4866464702</v>
      </c>
      <c r="G11" s="75">
        <f>Austria!G$7+Denmark!G$6+France!G$10+Germany!G$6+Italy!G$6+Spain!G$2</f>
        <v>47648.28</v>
      </c>
      <c r="H11" s="75">
        <f>Austria!H$7+Denmark!H$6+France!H$10+Germany!H$6+Italy!H$6+Spain!H$2</f>
        <v>55243</v>
      </c>
      <c r="I11" s="75">
        <f>Austria!I$7+Denmark!I$6+France!I$10+Germany!I$6+Italy!I$6+Spain!I$2</f>
        <v>40632</v>
      </c>
      <c r="J11" s="75">
        <f>Austria!J$7+Denmark!J$6+France!J$10+Germany!J$6+Italy!J$6+Spain!J$2</f>
        <v>50130</v>
      </c>
      <c r="K11" s="75">
        <f>Austria!K$7+Denmark!K$6+France!K$10+Germany!K$6+Italy!K$6+Spain!K$2</f>
        <v>51929</v>
      </c>
      <c r="L11" s="75">
        <f>Austria!L$7+Denmark!L$6+France!L$10+Germany!L$6+Italy!L$6+Spain!L$2</f>
        <v>45931</v>
      </c>
      <c r="M11" s="77">
        <f>Austria!M$7+Denmark!M$6+France!M$10+Germany!M$6+Italy!M$6+Spain!M$2</f>
        <v>34099</v>
      </c>
    </row>
    <row r="12" spans="1:13" ht="12.75">
      <c r="A12" s="52" t="s">
        <v>8</v>
      </c>
      <c r="B12" s="56">
        <f t="shared" si="0"/>
        <v>-0.1576437708346584</v>
      </c>
      <c r="C12" s="108">
        <f>Austria!C$8+'Czech Republic'!C$3+Denmark!C$7+France!C$11+Germany!C$7+Italy!C$7+Spain!C$3+Switzerland!C$6+UK!C$6+Poland!C$5</f>
        <v>450295</v>
      </c>
      <c r="D12" s="75">
        <f>Austria!D$8+'Czech Republic'!D$3+Denmark!D$7+France!D$11+Germany!D$7+Italy!D$7+Spain!D$3+Switzerland!D$6+UK!D$6+Poland!D$5</f>
        <v>534566</v>
      </c>
      <c r="E12" s="13">
        <f>Austria!E$8+'Czech Republic'!E$3+Denmark!E$7+France!E$11+Germany!E$7+Italy!E$7+Spain!E$3+Switzerland!E$6+UK!E$6+Poland!E$5</f>
        <v>517664.672654125</v>
      </c>
      <c r="F12" s="75">
        <f>Austria!F$8+'Czech Republic'!F$3+Denmark!F$7+France!F$11+Germany!F$7+Italy!F$7+Spain!F$3+Switzerland!F$6+UK!F$6+Poland!F$5</f>
        <v>425566.75519855553</v>
      </c>
      <c r="G12" s="75">
        <f>Austria!G$8+'Czech Republic'!G$3+Denmark!G$7+France!G$11+Germany!G$7+Italy!G$7+Spain!G$3+Switzerland!G$6+UK!G$6+Poland!G$5</f>
        <v>381088.17</v>
      </c>
      <c r="H12" s="75">
        <f>Austria!H$8+'Czech Republic'!H$3+Denmark!H$7+France!H$11+Germany!H$7+Italy!H$7+Spain!H$3+Switzerland!H$6+UK!H$6+Poland!H$5</f>
        <v>300331</v>
      </c>
      <c r="I12" s="75">
        <f>Austria!I$8+'Czech Republic'!I$3+Denmark!I$7+France!I$11+Germany!I$7+Italy!I$7+Spain!I$3+Switzerland!I$6+UK!I$6+Poland!I$5</f>
        <v>274029</v>
      </c>
      <c r="J12" s="75">
        <f>Austria!J$8+'Czech Republic'!J$3+Denmark!J$7+France!J$11+Germany!J$7+Italy!J$7+Spain!J$3+Switzerland!J$6+UK!J$6+Poland!J$5</f>
        <v>275351</v>
      </c>
      <c r="K12" s="75">
        <f>Austria!K$8+'Czech Republic'!K$3+Denmark!K$7+France!K$11+Germany!K$7+Italy!K$7+Spain!K$3+Switzerland!K$6+UK!K$6+Poland!K$5</f>
        <v>218272</v>
      </c>
      <c r="L12" s="75">
        <f>Austria!L$8+'Czech Republic'!L$3+Denmark!L$7+France!L$11+Germany!L$7+Italy!L$7+Spain!L$3+Switzerland!L$6+UK!L$6+Poland!L$5</f>
        <v>206734.7</v>
      </c>
      <c r="M12" s="77">
        <f>Austria!M$8+'Czech Republic'!M$3+Denmark!M$7+France!M$11+Germany!M$7+Italy!M$7+Spain!M$3+Switzerland!M$6+UK!M$6+Poland!M$5</f>
        <v>174880</v>
      </c>
    </row>
    <row r="13" spans="1:13" ht="12.75">
      <c r="A13" s="52" t="s">
        <v>13</v>
      </c>
      <c r="B13" s="56">
        <f t="shared" si="0"/>
        <v>0.0080850058101747</v>
      </c>
      <c r="C13" s="108">
        <f>Austria!C$9+Belgium!C$5+'Czech Republic'!C$4+Denmark!C$8+Germany!C$8+Italy!C$8+Poland!C$6</f>
        <v>102367</v>
      </c>
      <c r="D13" s="75">
        <f>Austria!D$9+Belgium!D$5+'Czech Republic'!D$4+Denmark!D$8+Germany!D$8+Italy!D$8+Poland!D$6</f>
        <v>101546</v>
      </c>
      <c r="E13" s="13">
        <f>Austria!E$9+Belgium!E$5+'Czech Republic'!E$4+Denmark!E$8+Germany!E$8+Italy!E$8+Poland!E$6</f>
        <v>107836</v>
      </c>
      <c r="F13" s="75">
        <f>Austria!F$9+Belgium!F$5+'Czech Republic'!F$4+Denmark!F$8+Germany!F$8+Italy!F$8+Poland!F$6</f>
        <v>2911</v>
      </c>
      <c r="G13" s="75">
        <f>Austria!G$9+Belgium!G$5+'Czech Republic'!G$4+Denmark!G$8+Germany!G$8+Italy!G$8+Poland!G$6</f>
        <v>115827</v>
      </c>
      <c r="H13" s="75">
        <f>Austria!H$9+Belgium!H$5+'Czech Republic'!H$4+Denmark!H$8+Germany!H$8+Italy!H$8+Poland!H$6</f>
        <v>115212</v>
      </c>
      <c r="I13" s="75">
        <f>Austria!I$9+Belgium!I$5+'Czech Republic'!I$4+Denmark!I$8+Germany!I$8+Italy!I$8+Poland!I$6</f>
        <v>118796</v>
      </c>
      <c r="J13" s="75">
        <f>Austria!J$9+Belgium!J$5+'Czech Republic'!J$4+Denmark!J$8+Germany!J$8+Italy!J$8+Poland!J$6</f>
        <v>105528</v>
      </c>
      <c r="K13" s="75">
        <f>Austria!K$9+Belgium!K$5+'Czech Republic'!K$4+Denmark!K$8+Germany!K$8+Italy!K$8+Poland!K$6</f>
        <v>10656</v>
      </c>
      <c r="L13" s="75">
        <f>Austria!L$9+Belgium!L$5+'Czech Republic'!L$4+Denmark!L$8+Germany!L$8+Italy!L$8+Poland!L$6</f>
        <v>16613.6</v>
      </c>
      <c r="M13" s="77">
        <f>Austria!M$9+Belgium!M$5+'Czech Republic'!M$4+Denmark!M$8+Germany!M$8+Italy!M$8+Poland!M$6</f>
        <v>18968</v>
      </c>
    </row>
    <row r="14" spans="1:13" ht="12.75">
      <c r="A14" s="52" t="s">
        <v>2</v>
      </c>
      <c r="B14" s="56">
        <f t="shared" si="0"/>
        <v>-0.37396137517381367</v>
      </c>
      <c r="C14" s="108">
        <f>Austria!C$10+Belgium!C$6+'Czech Republic'!C$5+France!C$12+Germany!C$9+Italy!C$9+Spain!C$4+Switzerland!C$8+Netherlands!C$4+Poland!C$7</f>
        <v>643368</v>
      </c>
      <c r="D14" s="75">
        <f>Austria!D$10+Belgium!D$6+'Czech Republic'!D$5+France!D$12+Germany!D$9+Italy!D$9+Spain!D$4+Switzerland!D$8+Netherlands!D$4+Poland!D$7</f>
        <v>1027681</v>
      </c>
      <c r="E14" s="13">
        <f>Austria!E$10+Belgium!E$6+'Czech Republic'!E$5+France!E$12+Germany!E$9+Italy!E$9+Spain!E$4+Switzerland!E$8+Netherlands!E$4+Poland!E$7</f>
        <v>1457145.081201144</v>
      </c>
      <c r="F14" s="75">
        <f>Austria!F$10+Belgium!F$6+'Czech Republic'!F$5+France!F$12+Germany!F$9+Italy!F$9+Spain!F$4+Switzerland!F$8+Netherlands!F$4+Poland!F$7</f>
        <v>1288088.6218024027</v>
      </c>
      <c r="G14" s="75">
        <f>Austria!G$10+Belgium!G$6+'Czech Republic'!G$5+France!G$12+Germany!G$9+Italy!G$9+Spain!G$4+Switzerland!G$8+Netherlands!G$4+Poland!G$7</f>
        <v>711337.5800000001</v>
      </c>
      <c r="H14" s="75">
        <f>Austria!H$10+Belgium!H$6+'Czech Republic'!H$5+France!H$12+Germany!H$9+Italy!H$9+Spain!H$4+Switzerland!H$8+Netherlands!H$4+Poland!H$7</f>
        <v>639934</v>
      </c>
      <c r="I14" s="75">
        <f>Austria!I$10+Belgium!I$6+'Czech Republic'!I$5+France!I$12+Germany!I$9+Italy!I$9+Spain!I$4+Switzerland!I$8+Netherlands!I$4+Poland!I$7</f>
        <v>561372</v>
      </c>
      <c r="J14" s="75">
        <f>Austria!J$10+Belgium!J$6+'Czech Republic'!J$5+France!J$12+Germany!J$9+Italy!J$9+Spain!J$4+Switzerland!J$8+Netherlands!J$4+Poland!J$7</f>
        <v>650307</v>
      </c>
      <c r="K14" s="75">
        <f>Austria!K$10+Belgium!K$6+'Czech Republic'!K$5+France!K$12+Germany!K$9+Italy!K$9+Spain!K$4+Switzerland!K$8+Netherlands!K$4+Poland!K$7</f>
        <v>532682</v>
      </c>
      <c r="L14" s="75">
        <f>Austria!L$10+Belgium!L$6+'Czech Republic'!L$5+France!L$12+Germany!L$9+Italy!L$9+Spain!L$4+Switzerland!L$8+Netherlands!L$4+Poland!L$7</f>
        <v>543575.55</v>
      </c>
      <c r="M14" s="77">
        <f>Austria!M$10+Belgium!M$6+'Czech Republic'!M$5+France!M$12+Germany!M$9+Italy!M$9+Spain!M$4+Switzerland!M$8+Netherlands!M$4+Poland!M$7</f>
        <v>471933</v>
      </c>
    </row>
    <row r="15" spans="1:13" ht="12.75">
      <c r="A15" s="52" t="s">
        <v>16</v>
      </c>
      <c r="B15" s="56">
        <f t="shared" si="0"/>
        <v>-0.5306478759453334</v>
      </c>
      <c r="C15" s="108">
        <f>Austria!C$11+France!C$14+Italy!C$10+Spain!C$5+Switzerland!C$9</f>
        <v>104574</v>
      </c>
      <c r="D15" s="75">
        <f>Austria!D$11+France!D$14+Italy!D$10+Spain!D$5+Switzerland!D$9</f>
        <v>222805</v>
      </c>
      <c r="E15" s="13">
        <f>Austria!E$11+France!E$14+Italy!E$10+Spain!E$5+Switzerland!E$9</f>
        <v>212461.34294076284</v>
      </c>
      <c r="F15" s="75">
        <f>Austria!F$11+France!F$14+Italy!F$10+Spain!F$5+Switzerland!F$9</f>
        <v>240127.82578256234</v>
      </c>
      <c r="G15" s="75">
        <f>Austria!G$11+France!G$14+Italy!G$10+Spain!G$5+Switzerland!G$9</f>
        <v>95079.57</v>
      </c>
      <c r="H15" s="75">
        <f>Austria!H$11+France!H$14+Italy!H$10+Spain!H$5+Switzerland!H$9</f>
        <v>111688</v>
      </c>
      <c r="I15" s="75">
        <f>Austria!I$11+France!I$14+Italy!I$10+Spain!I$5+Switzerland!I$9</f>
        <v>80706</v>
      </c>
      <c r="J15" s="75">
        <f>Austria!J$11+France!J$14+Italy!J$10+Spain!J$5+Switzerland!J$9</f>
        <v>112987</v>
      </c>
      <c r="K15" s="75">
        <f>Austria!K$11+France!K$14+Italy!K$10+Spain!K$5+Switzerland!K$9</f>
        <v>99999</v>
      </c>
      <c r="L15" s="75">
        <f>Austria!L$11+France!L$14+Italy!L$10+Spain!L$5+Switzerland!L$9</f>
        <v>99613.3</v>
      </c>
      <c r="M15" s="77">
        <f>Austria!M$11+France!M$14+Italy!M$10+Spain!M$5+Switzerland!M$9</f>
        <v>85146</v>
      </c>
    </row>
    <row r="16" spans="1:13" ht="12.75">
      <c r="A16" s="52" t="s">
        <v>14</v>
      </c>
      <c r="B16" s="56">
        <f t="shared" si="0"/>
        <v>1.4910519423832387</v>
      </c>
      <c r="C16" s="108">
        <f>Denmark!C$9+Germany!C$10</f>
        <v>5707</v>
      </c>
      <c r="D16" s="75">
        <f>Denmark!D$9+Germany!D$10</f>
        <v>2291</v>
      </c>
      <c r="E16" s="13">
        <f>Denmark!E$9+Germany!E$10</f>
        <v>6091</v>
      </c>
      <c r="F16" s="75">
        <f>Denmark!F$9+Germany!F$10</f>
        <v>7999</v>
      </c>
      <c r="G16" s="75">
        <f>Denmark!G$9+Germany!G$10</f>
        <v>6325</v>
      </c>
      <c r="H16" s="75">
        <f>Denmark!H$9+Germany!H$10</f>
        <v>2956</v>
      </c>
      <c r="I16" s="75">
        <f>Denmark!I$9+Germany!I$10</f>
        <v>3817</v>
      </c>
      <c r="J16" s="75">
        <f>Denmark!J$9+Germany!J$10</f>
        <v>7083</v>
      </c>
      <c r="K16" s="75">
        <f>Denmark!K$9+Germany!K$10</f>
        <v>7760</v>
      </c>
      <c r="L16" s="75">
        <f>Denmark!L$9+Germany!L$10</f>
        <v>8862</v>
      </c>
      <c r="M16" s="77">
        <f>Denmark!M$9+Germany!M$10</f>
        <v>10333</v>
      </c>
    </row>
    <row r="17" spans="1:14" ht="12.75">
      <c r="A17" s="52" t="s">
        <v>9</v>
      </c>
      <c r="B17" s="56">
        <f t="shared" si="0"/>
        <v>0.9466324616632407</v>
      </c>
      <c r="C17" s="108">
        <f>Austria!C$12+'Czech Republic'!C$6+Denmark!C$10+France!C$16+Germany!C$11+Italy!C$11+Switzerland!C$10+Poland!C$8</f>
        <v>432977</v>
      </c>
      <c r="D17" s="75">
        <f>Austria!D$12+'Czech Republic'!D$6+Denmark!D$10+France!D$16+Germany!D$11+Italy!D$11+Switzerland!D$10+Poland!D$8</f>
        <v>222423.6</v>
      </c>
      <c r="E17" s="13">
        <f>Austria!E$12+'Czech Republic'!E$6+Denmark!E$10+France!E$16+Germany!E$11+Italy!E$11+Switzerland!E$10+Poland!E$8</f>
        <v>381758.29</v>
      </c>
      <c r="F17" s="75">
        <f>Austria!F$12+'Czech Republic'!F$6+Denmark!F$10+France!F$16+Germany!F$11+Italy!F$11+Switzerland!F$10+Poland!F$8</f>
        <v>42365.979999999996</v>
      </c>
      <c r="G17" s="75">
        <f>Austria!G$12+'Czech Republic'!G$6+Denmark!G$10+France!G$16+Germany!G$11+Italy!G$11+Switzerland!G$10+Poland!G$8</f>
        <v>409533.85</v>
      </c>
      <c r="H17" s="75">
        <f>Austria!H$12+'Czech Republic'!H$6+Denmark!H$10+France!H$16+Germany!H$11+Italy!H$11+Switzerland!H$10+Poland!H$8</f>
        <v>366827</v>
      </c>
      <c r="I17" s="75">
        <f>Austria!I$12+'Czech Republic'!I$6+Denmark!I$10+France!I$16+Germany!I$11+Italy!I$11+Switzerland!I$10+Poland!I$8</f>
        <v>357502</v>
      </c>
      <c r="J17" s="75">
        <f>Austria!J$12+'Czech Republic'!J$6+Denmark!J$10+France!J$16+Germany!J$11+Italy!J$11+Switzerland!J$10+Poland!J$8</f>
        <v>295107</v>
      </c>
      <c r="K17" s="75">
        <f>Austria!K$12+'Czech Republic'!K$6+Denmark!K$10+France!K$16+Germany!K$11+Italy!K$11+Switzerland!K$10+Poland!K$8</f>
        <v>60248</v>
      </c>
      <c r="L17" s="75">
        <f>Austria!L$12+'Czech Republic'!L$6+Denmark!L$10+France!L$16+Germany!L$11+Italy!L$11+Switzerland!L$10+Poland!L$8</f>
        <v>69649.95</v>
      </c>
      <c r="M17" s="77">
        <f>Austria!M$12+'Czech Republic'!M$6+Denmark!M$10+France!M$16+Germany!M$11+Italy!M$11+Switzerland!M$10+Poland!M$8</f>
        <v>70133</v>
      </c>
      <c r="N17" s="1"/>
    </row>
    <row r="18" spans="1:14" ht="12.75">
      <c r="A18" s="52" t="s">
        <v>26</v>
      </c>
      <c r="B18" s="56">
        <f t="shared" si="0"/>
        <v>0.9667065294650207</v>
      </c>
      <c r="C18" s="108">
        <f>Austria!C$13+Belgium!C$7+'Czech Republic'!C$7+Denmark!C$12+France!C$18+Germany!C$13+Italy!C$12+Switzerland!C$11+Netherlands!C$5+UK!C$7+Poland!C$9</f>
        <v>359041</v>
      </c>
      <c r="D18" s="75">
        <f>Austria!D$13+Belgium!D$7+'Czech Republic'!D$7+Denmark!D$12+France!D$18+Germany!D$13+Italy!D$12+Switzerland!D$11+Netherlands!D$5+UK!D$7+Poland!D$9</f>
        <v>182559.52</v>
      </c>
      <c r="E18" s="13">
        <f>Austria!E$13+Belgium!E$7+'Czech Republic'!E$7+Denmark!E$12+France!E$18+Germany!E$13+Italy!E$12+Switzerland!E$11+Netherlands!E$5+UK!E$7+Poland!E$9</f>
        <v>343836.06</v>
      </c>
      <c r="F18" s="75">
        <f>Austria!F$13+Belgium!F$7+'Czech Republic'!F$7+Denmark!F$12+France!F$18+Germany!F$13+Italy!F$12+Switzerland!F$11+Netherlands!F$5+UK!F$7+Poland!F$9</f>
        <v>256334.4</v>
      </c>
      <c r="G18" s="75">
        <f>Austria!G$13+Belgium!G$7+'Czech Republic'!G$7+Denmark!G$12+France!G$18+Germany!G$13+Italy!G$12+Switzerland!G$11+Netherlands!G$5+UK!G$7+Poland!G$9</f>
        <v>389983.27</v>
      </c>
      <c r="H18" s="75">
        <f>Austria!H$13+Belgium!H$7+'Czech Republic'!H$7+Denmark!H$12+France!H$18+Germany!H$13+Italy!H$12+Switzerland!H$11+Netherlands!H$5+UK!H$7+Poland!H$9</f>
        <v>337390</v>
      </c>
      <c r="I18" s="75">
        <f>Austria!I$13+Belgium!I$7+'Czech Republic'!I$7+Denmark!I$12+France!I$18+Germany!I$13+Italy!I$12+Switzerland!I$11+Netherlands!I$5+UK!I$7+Poland!I$9</f>
        <v>321502</v>
      </c>
      <c r="J18" s="75">
        <f>Austria!J$13+Belgium!J$7+'Czech Republic'!J$7+Denmark!J$12+France!J$18+Germany!J$13+Italy!J$12+Switzerland!J$11+Netherlands!J$5+UK!J$7+Poland!J$9</f>
        <v>350188</v>
      </c>
      <c r="K18" s="75">
        <f>Austria!K$13+Belgium!K$7+'Czech Republic'!K$7+Denmark!K$12+France!K$18+Germany!K$13+Italy!K$12+Switzerland!K$11+Netherlands!K$5+UK!K$7+Poland!K$9</f>
        <v>223081</v>
      </c>
      <c r="L18" s="75">
        <f>Austria!L$13+Belgium!L$7+'Czech Republic'!L$7+Denmark!L$12+France!L$18+Germany!L$13+Italy!L$12+Switzerland!L$11+Netherlands!L$5+UK!L$7+Poland!L$9</f>
        <v>314846.65</v>
      </c>
      <c r="M18" s="77">
        <f>Austria!M$13+Belgium!M$7+'Czech Republic'!M$7+Denmark!M$12+France!M$18+Germany!M$13+Italy!M$12+Switzerland!M$11+Netherlands!M$5+UK!M$7+Poland!M$9</f>
        <v>315965</v>
      </c>
      <c r="N18" s="1"/>
    </row>
    <row r="19" spans="1:13" ht="12.75">
      <c r="A19" s="52" t="s">
        <v>25</v>
      </c>
      <c r="B19" s="56">
        <f t="shared" si="0"/>
        <v>1.9326447170217345</v>
      </c>
      <c r="C19" s="108">
        <f>Austria!C$14+Belgium!C$8+Denmark!C$13+Germany!C$14+UK!C$8</f>
        <v>109024</v>
      </c>
      <c r="D19" s="75">
        <f>Austria!D$14+Belgium!D$8+Denmark!D$13+Germany!D$14+UK!D$8</f>
        <v>37176</v>
      </c>
      <c r="E19" s="13">
        <f>Austria!E$14+Belgium!E$8+Denmark!E$13+Germany!E$14+UK!E$8</f>
        <v>108504.55</v>
      </c>
      <c r="F19" s="75">
        <f>Austria!F$14+Belgium!F$8+Denmark!F$13+Germany!F$14+UK!F$8</f>
        <v>124705.47</v>
      </c>
      <c r="G19" s="75">
        <f>Austria!G$14+Belgium!G$8+Denmark!G$13+Germany!G$14+UK!G$8</f>
        <v>150650.4</v>
      </c>
      <c r="H19" s="75">
        <f>Austria!H$14+Belgium!H$8+Denmark!H$13+Germany!H$14+UK!H$8</f>
        <v>93139</v>
      </c>
      <c r="I19" s="75">
        <f>Austria!I$14+Belgium!I$8+Denmark!I$13+Germany!I$14+UK!I$8</f>
        <v>120680</v>
      </c>
      <c r="J19" s="75">
        <f>Austria!J$14+Belgium!J$8+Denmark!J$13+Germany!J$14+UK!J$8</f>
        <v>125325</v>
      </c>
      <c r="K19" s="75">
        <f>Austria!K$14+Belgium!K$8+Denmark!K$13+Germany!K$14+UK!K$8</f>
        <v>113613</v>
      </c>
      <c r="L19" s="75">
        <f>Austria!L$14+Belgium!L$8+Denmark!L$13+Germany!L$14+UK!L$8</f>
        <v>140548.1</v>
      </c>
      <c r="M19" s="77">
        <f>Austria!M$14+Belgium!M$8+Denmark!M$13+Germany!M$14+UK!M$8</f>
        <v>129994</v>
      </c>
    </row>
    <row r="20" spans="1:13" ht="12.75">
      <c r="A20" s="52" t="s">
        <v>49</v>
      </c>
      <c r="B20" s="56"/>
      <c r="C20" s="108">
        <f>Italy!C$13</f>
        <v>0</v>
      </c>
      <c r="D20" s="75">
        <f>Italy!D$13</f>
        <v>0</v>
      </c>
      <c r="E20" s="13">
        <f>Italy!E$13</f>
        <v>0</v>
      </c>
      <c r="F20" s="75">
        <f>Italy!F$13</f>
        <v>0</v>
      </c>
      <c r="G20" s="75">
        <f>Italy!G$13</f>
        <v>0</v>
      </c>
      <c r="H20" s="75">
        <f>Italy!H$13</f>
        <v>0</v>
      </c>
      <c r="I20" s="75">
        <f>Italy!I$13</f>
        <v>0</v>
      </c>
      <c r="J20" s="75">
        <f>Italy!J$13+Poland!J$10</f>
        <v>140000</v>
      </c>
      <c r="K20" s="75">
        <f>Italy!K$13+Poland!K$10</f>
        <v>0</v>
      </c>
      <c r="L20" s="75">
        <f>Italy!L$13+Poland!L$10</f>
        <v>0</v>
      </c>
      <c r="M20" s="77">
        <f>Italy!M$13+Poland!M$10</f>
        <v>0</v>
      </c>
    </row>
    <row r="21" spans="1:13" ht="12.75">
      <c r="A21" s="52" t="s">
        <v>33</v>
      </c>
      <c r="B21" s="56"/>
      <c r="C21" s="108">
        <f>Poland!C$11</f>
        <v>0</v>
      </c>
      <c r="D21" s="75">
        <f>Poland!D$11</f>
        <v>0</v>
      </c>
      <c r="E21" s="13">
        <f>Poland!E$11</f>
        <v>0</v>
      </c>
      <c r="F21" s="75">
        <f>Poland!F$11</f>
        <v>0</v>
      </c>
      <c r="G21" s="75">
        <f>Poland!G$11</f>
        <v>5000</v>
      </c>
      <c r="H21" s="75">
        <f>Poland!H$11</f>
        <v>5000</v>
      </c>
      <c r="I21" s="75">
        <f>Poland!I$11</f>
        <v>10000</v>
      </c>
      <c r="J21" s="75">
        <f>Poland!J$11</f>
        <v>10597</v>
      </c>
      <c r="K21" s="75">
        <f>Poland!K$11</f>
        <v>0</v>
      </c>
      <c r="L21" s="75">
        <f>Poland!L$11</f>
        <v>0</v>
      </c>
      <c r="M21" s="77">
        <f>Poland!M$11</f>
        <v>0</v>
      </c>
    </row>
    <row r="22" spans="1:13" ht="12.75">
      <c r="A22" s="52" t="s">
        <v>17</v>
      </c>
      <c r="B22" s="56">
        <f t="shared" si="0"/>
        <v>-1</v>
      </c>
      <c r="C22" s="108">
        <f>Italy!C$14</f>
        <v>0</v>
      </c>
      <c r="D22" s="75">
        <f>Italy!D$14</f>
        <v>26331.95</v>
      </c>
      <c r="E22" s="13">
        <f>Italy!E$14</f>
        <v>27016</v>
      </c>
      <c r="F22" s="75">
        <f>Italy!F$14</f>
        <v>33821</v>
      </c>
      <c r="G22" s="75">
        <f>Italy!G$14</f>
        <v>0</v>
      </c>
      <c r="H22" s="75">
        <f>Italy!H$14</f>
        <v>0</v>
      </c>
      <c r="I22" s="75">
        <f>Italy!I$14</f>
        <v>0</v>
      </c>
      <c r="J22" s="75">
        <f>Italy!J$14</f>
        <v>0</v>
      </c>
      <c r="K22" s="75">
        <f>Italy!K$14</f>
        <v>0</v>
      </c>
      <c r="L22" s="75">
        <f>Italy!L$14</f>
        <v>0</v>
      </c>
      <c r="M22" s="77">
        <f>Italy!M$14</f>
        <v>0</v>
      </c>
    </row>
    <row r="23" spans="1:16" ht="12.75">
      <c r="A23" s="52" t="s">
        <v>12</v>
      </c>
      <c r="B23" s="56">
        <f t="shared" si="0"/>
        <v>0.8701623918652299</v>
      </c>
      <c r="C23" s="108">
        <f>Austria!C$16+Denmark!C$15+Germany!C$15+Switzerland!C$14+Poland!C$12</f>
        <v>73935</v>
      </c>
      <c r="D23" s="75">
        <f>Austria!D$16+Denmark!D$15+Germany!D$15+Switzerland!D$14+Poland!D$12</f>
        <v>39534</v>
      </c>
      <c r="E23" s="13">
        <f>Austria!E$16+Denmark!E$15+Germany!E$15+Switzerland!E$14+Poland!E$12</f>
        <v>55168.34</v>
      </c>
      <c r="F23" s="75">
        <f>Austria!F$16+Denmark!F$15+Germany!F$15+Switzerland!F$14+Poland!F$12</f>
        <v>17101.89</v>
      </c>
      <c r="G23" s="75">
        <f>Austria!G$16+Denmark!G$15+Germany!G$15+Switzerland!G$14+Poland!G$12</f>
        <v>48920.15</v>
      </c>
      <c r="H23" s="75">
        <f>Austria!H$16+Denmark!H$15+Germany!H$15+Switzerland!H$14+Poland!H$12</f>
        <v>33907</v>
      </c>
      <c r="I23" s="75">
        <f>Austria!I$16+Denmark!I$15+Germany!I$15+Switzerland!I$14+Poland!I$12</f>
        <v>48351</v>
      </c>
      <c r="J23" s="75">
        <f>Austria!J$16+Denmark!J$15+Germany!J$15+Switzerland!J$14</f>
        <v>14623</v>
      </c>
      <c r="K23" s="75">
        <f>Austria!K$16+Denmark!K$15+Germany!K$15+Switzerland!K$14</f>
        <v>15993</v>
      </c>
      <c r="L23" s="75">
        <f>Austria!L$16+Denmark!L$15+Germany!L$15+Switzerland!L$14</f>
        <v>18384</v>
      </c>
      <c r="M23" s="77">
        <f>Austria!M$16+Denmark!M$15+Germany!M$15+Switzerland!M$14</f>
        <v>16995</v>
      </c>
      <c r="P23" s="1"/>
    </row>
    <row r="24" spans="1:13" ht="12.75">
      <c r="A24" s="52" t="s">
        <v>18</v>
      </c>
      <c r="B24" s="56">
        <f t="shared" si="0"/>
        <v>-0.6494330245254807</v>
      </c>
      <c r="C24" s="108">
        <f>'Czech Republic'!C$8+France!C$19+Italy!C$15+Spain!C$6+Poland!C$13</f>
        <v>65881</v>
      </c>
      <c r="D24" s="75">
        <f>'Czech Republic'!D$8+France!D$19+Italy!D$15+Spain!D$6+Poland!D$13</f>
        <v>187927</v>
      </c>
      <c r="E24" s="13">
        <f>'Czech Republic'!E$8+France!E$19+Italy!E$15+Spain!E$6+Poland!E$13</f>
        <v>248301.066585352</v>
      </c>
      <c r="F24" s="75">
        <f>'Czech Republic'!F$8+France!F$19+Italy!F$15+Spain!F$6+Poland!F$13</f>
        <v>242811.49324611266</v>
      </c>
      <c r="G24" s="75">
        <f>'Czech Republic'!G$8+France!G$19+Italy!G$15+Spain!G$6+Poland!G$13</f>
        <v>48968</v>
      </c>
      <c r="H24" s="75">
        <f>'Czech Republic'!H$8+France!H$19+Italy!H$15+Spain!H$6+Poland!H$13</f>
        <v>51271</v>
      </c>
      <c r="I24" s="75">
        <f>'Czech Republic'!I$8+France!I$19+Italy!I$15+Spain!I$6+Poland!I$13</f>
        <v>37630</v>
      </c>
      <c r="J24" s="75">
        <f>'Czech Republic'!J$8+France!J$19+Italy!J$15+Spain!J$6+Poland!J$12+Poland!J$13</f>
        <v>89035</v>
      </c>
      <c r="K24" s="75">
        <f>'Czech Republic'!K$8+France!K$19+Italy!K$15+Spain!K$6+Poland!K$12+Poland!K$13</f>
        <v>39836</v>
      </c>
      <c r="L24" s="75">
        <f>'Czech Republic'!L$8+France!L$19+Italy!L$15+Spain!L$6+Poland!L$12+Poland!L$13</f>
        <v>45572</v>
      </c>
      <c r="M24" s="77">
        <f>'Czech Republic'!M$8+France!M$19+Italy!M$15+Spain!M$6+Poland!M$12+Poland!M$13</f>
        <v>44136</v>
      </c>
    </row>
    <row r="25" spans="1:13" ht="12.75">
      <c r="A25" s="52" t="s">
        <v>133</v>
      </c>
      <c r="B25" s="56">
        <f t="shared" si="0"/>
        <v>0.7046412550999707</v>
      </c>
      <c r="C25" s="108">
        <f>Germany!C$16+Austria!C$17</f>
        <v>75623</v>
      </c>
      <c r="D25" s="75">
        <f>Germany!D$16+Austria!D$17</f>
        <v>44363</v>
      </c>
      <c r="E25" s="13">
        <f>Germany!E$16</f>
        <v>63657</v>
      </c>
      <c r="F25" s="75">
        <f>Germany!F$16</f>
        <v>42070</v>
      </c>
      <c r="G25" s="75">
        <f>Germany!G$16</f>
        <v>48773</v>
      </c>
      <c r="H25" s="75">
        <f>Germany!H$16</f>
        <v>21818</v>
      </c>
      <c r="I25" s="75">
        <f>Germany!I$16</f>
        <v>32848</v>
      </c>
      <c r="J25" s="75">
        <f>Germany!J$16</f>
        <v>25065</v>
      </c>
      <c r="K25" s="75">
        <f>Germany!K$16</f>
        <v>19397</v>
      </c>
      <c r="L25" s="75">
        <f>Germany!L$16</f>
        <v>22574</v>
      </c>
      <c r="M25" s="77">
        <f>Germany!M$16</f>
        <v>15235</v>
      </c>
    </row>
    <row r="26" spans="1:19" ht="12.75">
      <c r="A26" s="52" t="s">
        <v>123</v>
      </c>
      <c r="B26" s="56">
        <f t="shared" si="0"/>
        <v>-0.11027289930897471</v>
      </c>
      <c r="C26" s="108">
        <f>France!C$21+France!C$20+Italy!C$16+Switzerland!C$12</f>
        <v>20781</v>
      </c>
      <c r="D26" s="75">
        <f>France!D$21+France!D$20+Italy!D$16+Switzerland!D$12</f>
        <v>23356.6</v>
      </c>
      <c r="E26" s="13">
        <f>France!E$21+France!E$20+Italy!E$16+Switzerland!E$12</f>
        <v>40498</v>
      </c>
      <c r="F26" s="75">
        <f>France!F$21+France!F$20+Italy!F$16+Switzerland!F$12</f>
        <v>44505</v>
      </c>
      <c r="G26" s="75">
        <f>France!G$21+France!G$20+Italy!G$16+Switzerland!G$12</f>
        <v>16700</v>
      </c>
      <c r="H26" s="75">
        <f>France!H$21+France!H$20+Italy!H$16+Switzerland!H$12</f>
        <v>19734</v>
      </c>
      <c r="I26" s="75">
        <f>France!I$21+France!I$20+Italy!I$16+Switzerland!I$12</f>
        <v>8621</v>
      </c>
      <c r="J26" s="75">
        <f>France!J$21+France!J$20+Italy!J$16+Switzerland!J$12</f>
        <v>19165</v>
      </c>
      <c r="K26" s="75">
        <f>France!K$21+France!K$20+Italy!K$16+Switzerland!K$12</f>
        <v>17087</v>
      </c>
      <c r="L26" s="75">
        <f>France!L$21+France!L$20+Italy!L$16+Switzerland!L$12</f>
        <v>18297</v>
      </c>
      <c r="M26" s="77">
        <f>France!M$21+France!M$20+Italy!M$16+Switzerland!M$12</f>
        <v>14802</v>
      </c>
      <c r="N26" s="16"/>
      <c r="O26" s="16"/>
      <c r="P26" s="16"/>
      <c r="Q26" s="16"/>
      <c r="R26" s="16"/>
      <c r="S26" s="16"/>
    </row>
    <row r="27" spans="1:19" ht="12.75">
      <c r="A27" s="52" t="s">
        <v>89</v>
      </c>
      <c r="B27" s="56">
        <f t="shared" si="0"/>
        <v>0.4894740431169691</v>
      </c>
      <c r="C27" s="108">
        <f>'Czech Republic'!C$9+Germany!C$17+Poland!C$14</f>
        <v>305792</v>
      </c>
      <c r="D27" s="75">
        <f>'Czech Republic'!D$9+Germany!D$17+Poland!D$14</f>
        <v>205302</v>
      </c>
      <c r="E27" s="13">
        <f>'Czech Republic'!E$9+Germany!E$17+Poland!E$14</f>
        <v>247849</v>
      </c>
      <c r="F27" s="75">
        <f>'Czech Republic'!F$9+Germany!F$17+Poland!F$14</f>
        <v>6432</v>
      </c>
      <c r="G27" s="75">
        <f>'Czech Republic'!G$9+Germany!G$17+Poland!G$14</f>
        <v>257019</v>
      </c>
      <c r="H27" s="75">
        <f>'Czech Republic'!H$9+Germany!H$17+Poland!H$14</f>
        <v>226370</v>
      </c>
      <c r="I27" s="75">
        <f>'Czech Republic'!I$9+Germany!I$17+Poland!I$14</f>
        <v>207625</v>
      </c>
      <c r="J27" s="75">
        <f>'Czech Republic'!J$9+Germany!J$17+Poland!J$14</f>
        <v>188570</v>
      </c>
      <c r="K27" s="75">
        <f>'Czech Republic'!K$9+Germany!K$17+Poland!K$14</f>
        <v>5139</v>
      </c>
      <c r="L27" s="75">
        <f>'Czech Republic'!L$9+Germany!L$17+Poland!L$14</f>
        <v>8897</v>
      </c>
      <c r="M27" s="77">
        <f>'Czech Republic'!M$9+Germany!M$17+Poland!M$14</f>
        <v>7622</v>
      </c>
      <c r="N27" s="16"/>
      <c r="O27" s="16"/>
      <c r="P27" s="16"/>
      <c r="Q27" s="16"/>
      <c r="R27" s="16"/>
      <c r="S27" s="16"/>
    </row>
    <row r="28" spans="1:13" ht="12.75">
      <c r="A28" s="52" t="s">
        <v>20</v>
      </c>
      <c r="B28" s="56">
        <f t="shared" si="0"/>
        <v>-1</v>
      </c>
      <c r="C28" s="108">
        <f>Italy!C$17</f>
        <v>0</v>
      </c>
      <c r="D28" s="75">
        <f>Italy!D$17</f>
        <v>5745</v>
      </c>
      <c r="E28" s="13">
        <f>Italy!E$17</f>
        <v>9500</v>
      </c>
      <c r="F28" s="75">
        <f>Italy!F$17</f>
        <v>8619</v>
      </c>
      <c r="G28" s="75">
        <f>Italy!G$17</f>
        <v>0</v>
      </c>
      <c r="H28" s="75">
        <f>Italy!H$17</f>
        <v>0</v>
      </c>
      <c r="I28" s="75">
        <f>Italy!I$17</f>
        <v>0</v>
      </c>
      <c r="J28" s="75">
        <f>Italy!J$17</f>
        <v>0</v>
      </c>
      <c r="K28" s="75">
        <f>Italy!K$17</f>
        <v>0</v>
      </c>
      <c r="L28" s="75">
        <f>Italy!L$17</f>
        <v>0</v>
      </c>
      <c r="M28" s="77">
        <f>Italy!M$17</f>
        <v>0</v>
      </c>
    </row>
    <row r="29" spans="1:13" ht="12.75">
      <c r="A29" s="52" t="s">
        <v>34</v>
      </c>
      <c r="B29" s="56">
        <f t="shared" si="0"/>
        <v>3.1724137931034484</v>
      </c>
      <c r="C29" s="108">
        <f>'Czech Republic'!C$10+UK!C$9+Poland!C$15+Denmark!C$16</f>
        <v>242</v>
      </c>
      <c r="D29" s="75">
        <f>'Czech Republic'!D$10+UK!D$9+Poland!D$15+Denmark!D$16</f>
        <v>58</v>
      </c>
      <c r="E29" s="13">
        <f>'Czech Republic'!E$10+UK!E$9+Poland!E$15+Denmark!E$16</f>
        <v>154</v>
      </c>
      <c r="F29" s="75">
        <f>'Czech Republic'!F$10+UK!F$9+Poland!F$15+Denmark!F$16</f>
        <v>1127</v>
      </c>
      <c r="G29" s="75">
        <f>'Czech Republic'!G$10+UK!G$9+Poland!G$15+Denmark!G$16</f>
        <v>237</v>
      </c>
      <c r="H29" s="75">
        <f>'Czech Republic'!H$10+UK!H$9+Poland!H$15+Denmark!H$16</f>
        <v>190</v>
      </c>
      <c r="I29" s="75">
        <f>'Czech Republic'!I$10+UK!I$9+Poland!I$15+Denmark!I$16</f>
        <v>670</v>
      </c>
      <c r="J29" s="75">
        <f>'Czech Republic'!J$10+UK!J$9+Poland!J$15+Denmark!J$16</f>
        <v>398</v>
      </c>
      <c r="K29" s="75">
        <f>'Czech Republic'!K$10+UK!K$9+Poland!K$15</f>
        <v>2230</v>
      </c>
      <c r="L29" s="75">
        <f>'Czech Republic'!L$10+UK!L$9+Poland!L$15</f>
        <v>1117</v>
      </c>
      <c r="M29" s="77">
        <f>'Czech Republic'!M$10+UK!M$9+Poland!M$15</f>
        <v>1114</v>
      </c>
    </row>
    <row r="30" spans="1:13" ht="12.75">
      <c r="A30" s="52" t="s">
        <v>124</v>
      </c>
      <c r="B30" s="56">
        <f t="shared" si="0"/>
        <v>0.5355210257524721</v>
      </c>
      <c r="C30" s="108">
        <f>Denmark!C$17+France!C$2+France!C$24+France!C$17+France!C$15+France!C$13+Switzerland!C$17+UK!C$10+Germany!C$19+Netherlands!C$6</f>
        <v>141314</v>
      </c>
      <c r="D30" s="75">
        <f>Denmark!D$17+France!D$2+France!D$24+France!D$17+France!D$15+France!D$13+Switzerland!D$17+UK!D$10+Germany!D$19+Netherlands!D$6</f>
        <v>92030</v>
      </c>
      <c r="E30" s="13">
        <f>Denmark!E$17+France!E$2+France!E$24+France!E$17+France!E$15+France!E$13+Switzerland!E$17+UK!E$10+Germany!E$19+Netherlands!E$6</f>
        <v>122597</v>
      </c>
      <c r="F30" s="75">
        <f>Denmark!F$17+France!F$2+France!F$24+France!F$17+France!F$15+France!F$13+Switzerland!F$17+UK!F$10+Germany!F$19+Netherlands!F$6</f>
        <v>132886</v>
      </c>
      <c r="G30" s="75">
        <f>Denmark!G$17+France!G$2+France!G$24+France!G$17+France!G$15+France!G$13+Switzerland!G$17+UK!G$10+Germany!G$19+Netherlands!G$6</f>
        <v>128319</v>
      </c>
      <c r="H30" s="75">
        <f>Denmark!H$17+France!H$2+France!H$24+France!H$17+France!H$15+France!H$13+Switzerland!H$17+UK!H$10+Germany!H$19+Netherlands!H$6</f>
        <v>104406</v>
      </c>
      <c r="I30" s="75">
        <f>Denmark!I$17+France!I$2+France!I$24+France!I$17+France!I$15+France!I$13+Switzerland!I$17+UK!I$10+Germany!I$19+Netherlands!I$6</f>
        <v>64255</v>
      </c>
      <c r="J30" s="75">
        <f>Denmark!J$17+France!J$2+France!J$24+France!J$17+France!J$15+France!J$13+Switzerland!J$17+UK!J$10+Germany!J$19</f>
        <v>62180</v>
      </c>
      <c r="K30" s="75">
        <f>Denmark!K$17+France!K$2+France!K$24+France!K$17+France!K$15+France!K$13+Switzerland!K$17+UK!K$10+Germany!K$19</f>
        <v>65006</v>
      </c>
      <c r="L30" s="75">
        <f>Denmark!L$17+France!L$2+France!L$24+France!L$17+France!L$15+France!L$13+Switzerland!L$17+UK!L$10+Germany!L$19</f>
        <v>57461</v>
      </c>
      <c r="M30" s="77">
        <f>Denmark!M$17+France!M$2+France!M$24+France!M$17+France!M$15+France!M$13+Switzerland!M$17+UK!M$10+Germany!M$19</f>
        <v>21954</v>
      </c>
    </row>
    <row r="31" spans="1:15" ht="13.5" thickBot="1">
      <c r="A31" s="53" t="s">
        <v>5</v>
      </c>
      <c r="B31" s="56">
        <f t="shared" si="0"/>
        <v>0.8975016351616696</v>
      </c>
      <c r="C31" s="108">
        <f>Austria!C$2+Austria!C$6+Austria!C$15+Austria!C$18+Austria!C$19+Austria!C$20+Belgium!C$9+'Czech Republic'!C$11+Denmark!C$3+Denmark!C$14+Denmark!C$11+Denmark!C$18+Germany!C$12+Germany!C$18+Germany!C$20+Italy!C$18+Spain!C$7+Switzerland!C$7+Switzerland!C$13+Switzerland!C$15+Switzerland!C$16+Switzerland!C$18+Netherlands!C$7+UK!C$11+France!C$3+France!C$7+France!C$22+France!C$23+France!C$25+Poland!C$10+Poland!C$16</f>
        <v>842332</v>
      </c>
      <c r="D31" s="75">
        <f>Austria!D$2+Austria!D$6+Austria!D$15+Austria!D$18+Austria!D$19+Austria!D$20+Belgium!D$9+'Czech Republic'!D$11+Denmark!D$3+Denmark!D$14+Denmark!D$11+Denmark!D$18+Germany!D$12+Germany!D$18+Germany!D$20+Italy!D$18+Spain!D$7+Switzerland!D$7+Switzerland!D$13+Switzerland!D$15+Switzerland!D$16+Switzerland!D$18+Netherlands!D$7+UK!D$11+France!D$3+France!D$7+France!D$22+France!D$23+France!D$25+Poland!D$10+Poland!D$16</f>
        <v>443916.35</v>
      </c>
      <c r="E31" s="13">
        <f>Austria!E$2+Austria!E$6+Austria!E$15+Austria!E$18+Austria!E$19+Austria!E$20+Belgium!E$9+'Czech Republic'!E$11+Denmark!E$3+Denmark!E$14+Denmark!E$11+Denmark!E$18+Germany!E$12+Germany!E$18+Germany!E$20+Italy!E$18+Spain!E$7+Switzerland!E$7+Switzerland!E$13+Switzerland!E$15+Switzerland!E$16+Switzerland!E$18+Netherlands!E$7+UK!E$11+France!E$3+France!E$7+France!E$22+France!E$23+France!E$25+Poland!E$10+Poland!E$16</f>
        <v>650204.1493751132</v>
      </c>
      <c r="F31" s="13">
        <f>Austria!F$2+Austria!F$6+Austria!F$15+Austria!F$18+Austria!F$19+Austria!F$20+Belgium!F$9+'Czech Republic'!F$11+Denmark!F$3+Denmark!F$14+Denmark!F$11+Denmark!F$18+Germany!F$12+Germany!F$18+Germany!F$20+Italy!F$18+Spain!F$7+Switzerland!F$7+Switzerland!F$13+Switzerland!F$15+Switzerland!F$16+Switzerland!F$18+Netherlands!F$7+UK!F$11+France!F$3+France!F$7+France!F$22+France!F$23+France!F$25+Poland!F$10+Poland!F$16</f>
        <v>220940.0895630228</v>
      </c>
      <c r="G31" s="13">
        <f>Austria!G$2+Austria!G$6+Austria!G$15+Austria!G$18+Austria!G$19+Austria!G$20+Belgium!G$9+'Czech Republic'!G$11+Denmark!G$3+Denmark!G$14+Denmark!G$11+Denmark!G$18+Germany!G$12+Germany!G$18+Germany!G$20+Italy!G$18+Spain!G$7+Switzerland!G$7+Switzerland!G$13+Switzerland!G$15+Switzerland!G$16+Switzerland!G$18+Netherlands!G$7+UK!G$11+France!G$3+France!G$7+France!G$22+France!G$23+France!G$25+Poland!G$10+Poland!G$16</f>
        <v>606040.48</v>
      </c>
      <c r="H31" s="13">
        <f>Austria!H$2+Austria!H$6+Austria!H$15+Austria!H$18+Austria!H$19+Austria!H$20+Belgium!H$9+'Czech Republic'!H$11+Denmark!H$3+Denmark!H$14+Denmark!H$11+Denmark!H$18+Germany!H$12+Germany!H$18+Germany!H$20+Italy!H$18+Spain!H$7+Switzerland!H$7+Switzerland!H$13+Switzerland!H$15+Switzerland!H$16+Switzerland!H$18+Netherlands!H$7+UK!H$11+France!H$3+France!H$7+France!H$22+France!H$23+France!H$25+Poland!H$10+Poland!H$16</f>
        <v>474943</v>
      </c>
      <c r="I31" s="13">
        <f>Austria!I$2+Austria!I$6+Austria!I$15+Austria!I$18+Austria!I$19+Austria!I$20+Belgium!I$9+'Czech Republic'!I$11+Denmark!I$3+Denmark!I$14+Denmark!I$11+Denmark!I$18+Germany!I$12+Germany!I$18+Germany!I$20+Italy!I$18+Spain!I$7+Switzerland!I$7+Switzerland!I$13+Switzerland!I$15+Switzerland!I$16+Switzerland!I$18+Netherlands!I$7+UK!I$11+France!I$3+France!I$7+France!I$22+France!I$23+France!I$25+Poland!I$10+Poland!I$16</f>
        <v>530195</v>
      </c>
      <c r="J31" s="13">
        <f>Austria!J$2+Austria!J$6+Austria!J$15+Austria!J$18+Austria!J$19+Austria!J$20+Belgium!J$9+'Czech Republic'!J$11+Denmark!J$3+Denmark!J$14+Denmark!J$11+Denmark!J$18+Germany!J$12+Germany!J$18+Germany!J$20+Italy!J$18+Spain!J$7+Switzerland!J$7+Switzerland!J$13+Switzerland!J$15+Switzerland!J$16+Switzerland!J$18+Netherlands!J$7+UK!J$11+France!J$3+France!J$7+France!J$22+France!J$23+France!J$25+Poland!J$10+Poland!J$16</f>
        <v>417166</v>
      </c>
      <c r="K31" s="13">
        <f>Austria!K$2+Austria!K$6+Austria!K$15+Austria!K$18+Austria!K$19+Austria!K$20+Belgium!K$9+'Czech Republic'!K$11+Denmark!K$3+Denmark!K$14+Denmark!K$11+Denmark!K$18+Germany!K$12+Germany!K$18+Germany!K$20+Italy!K$18+Spain!K$7+Switzerland!K$7+Switzerland!K$13+Switzerland!K$15+Switzerland!K$16+Switzerland!K$18+Netherlands!K$7+UK!K$11+France!K$3+France!K$7+France!K$22+France!K$23+France!K$25+Poland!K$10+Poland!K$16</f>
        <v>155565</v>
      </c>
      <c r="L31" s="13">
        <f>Austria!L$2+Austria!L$6+Austria!L$15+Austria!L$18+Austria!L$19+Austria!L$20+Belgium!L$9+'Czech Republic'!L$11+Denmark!L$3+Denmark!L$14+Denmark!L$11+Denmark!L$18+Germany!L$12+Germany!L$18+Germany!L$20+Italy!L$18+Spain!L$7+Switzerland!L$7+Switzerland!L$13+Switzerland!L$15+Switzerland!L$16+Switzerland!L$18+Netherlands!L$7+UK!L$11+France!L$3+France!L$7+France!L$22+France!L$23+France!L$25+Poland!L$10+Poland!L$16</f>
        <v>140963.35</v>
      </c>
      <c r="M31" s="46">
        <f>Austria!M$2+Austria!M$6+Austria!M$15+Austria!M$18+Austria!M$19+Austria!M$20+Belgium!M$9+'Czech Republic'!M$11+Denmark!M$3+Denmark!M$14+Denmark!M$11+Denmark!M$18+Germany!M$12+Germany!M$18+Germany!M$20+Italy!M$18+Spain!M$7+Switzerland!M$7+Switzerland!M$13+Switzerland!M$15+Switzerland!M$16+Switzerland!M$18+Netherlands!M$7+UK!M$11+France!M$3+France!M$7+France!M$22+France!M$23+France!M$25+Poland!M$10+Poland!M$16</f>
        <v>153771</v>
      </c>
      <c r="O31" s="3"/>
    </row>
    <row r="32" spans="1:13" ht="13.5" thickBot="1">
      <c r="A32" s="39" t="s">
        <v>92</v>
      </c>
      <c r="B32" s="146">
        <f t="shared" si="0"/>
        <v>0.0317621864234986</v>
      </c>
      <c r="C32" s="110">
        <f>SUM(C2:C31)</f>
        <v>4239295</v>
      </c>
      <c r="D32" s="84">
        <f>SUM(D2:D31)</f>
        <v>4108790.8200000003</v>
      </c>
      <c r="E32" s="84">
        <f>SUM(E2:E31)</f>
        <v>5366847.765975231</v>
      </c>
      <c r="F32" s="84">
        <f>SUM(F2:F31)</f>
        <v>4028764.392239126</v>
      </c>
      <c r="G32" s="84">
        <f>SUM(G2:G31)</f>
        <v>4048844.73</v>
      </c>
      <c r="H32" s="84">
        <f aca="true" t="shared" si="1" ref="H32:M32">SUM(H2:H31)</f>
        <v>3347194</v>
      </c>
      <c r="I32" s="84">
        <f t="shared" si="1"/>
        <v>3178685</v>
      </c>
      <c r="J32" s="84">
        <f t="shared" si="1"/>
        <v>3373313</v>
      </c>
      <c r="K32" s="84">
        <f t="shared" si="1"/>
        <v>2151150</v>
      </c>
      <c r="L32" s="84">
        <f t="shared" si="1"/>
        <v>2349078.5500000003</v>
      </c>
      <c r="M32" s="123">
        <f t="shared" si="1"/>
        <v>2051175</v>
      </c>
    </row>
    <row r="33" spans="1:5" ht="12.75">
      <c r="A33" s="3" t="s">
        <v>163</v>
      </c>
      <c r="E33" s="9"/>
    </row>
    <row r="34" spans="2:13" ht="13.5" thickBot="1">
      <c r="B34" s="145"/>
      <c r="C34" s="49"/>
      <c r="D34" s="167"/>
      <c r="E34" s="167"/>
      <c r="F34" s="3"/>
      <c r="G34" s="3"/>
      <c r="H34" s="3"/>
      <c r="I34" s="3"/>
      <c r="J34" s="3"/>
      <c r="K34" s="3"/>
      <c r="L34" s="3"/>
      <c r="M34" s="3"/>
    </row>
    <row r="35" spans="1:19" ht="13.5" thickBot="1">
      <c r="A35" s="59" t="s">
        <v>91</v>
      </c>
      <c r="B35" s="31" t="s">
        <v>188</v>
      </c>
      <c r="C35" s="151">
        <v>43405</v>
      </c>
      <c r="D35" s="99">
        <v>43040</v>
      </c>
      <c r="E35" s="32">
        <v>42675</v>
      </c>
      <c r="F35" s="32">
        <v>42309</v>
      </c>
      <c r="G35" s="32">
        <v>41944</v>
      </c>
      <c r="H35" s="32">
        <v>41579</v>
      </c>
      <c r="I35" s="32">
        <v>41214</v>
      </c>
      <c r="J35" s="32">
        <v>40848</v>
      </c>
      <c r="K35" s="32">
        <v>40483</v>
      </c>
      <c r="L35" s="32">
        <v>40118</v>
      </c>
      <c r="M35" s="48">
        <v>39753</v>
      </c>
      <c r="N35" s="61"/>
      <c r="O35" s="61"/>
      <c r="P35" s="61"/>
      <c r="Q35" s="61"/>
      <c r="R35" s="61"/>
      <c r="S35" s="61"/>
    </row>
    <row r="36" spans="1:19" ht="12.75">
      <c r="A36" s="112" t="s">
        <v>104</v>
      </c>
      <c r="B36" s="113">
        <f aca="true" t="shared" si="2" ref="B36:B44">(C36-D36)/D36</f>
        <v>-1</v>
      </c>
      <c r="C36" s="105">
        <f>Italy!C$23</f>
        <v>0</v>
      </c>
      <c r="D36" s="80">
        <f>Italy!D$23</f>
        <v>226206</v>
      </c>
      <c r="E36" s="13">
        <f>Italy!E$23</f>
        <v>199098.87864195585</v>
      </c>
      <c r="F36" s="134">
        <f>Italy!F$23</f>
        <v>232830.86419045625</v>
      </c>
      <c r="G36" s="134">
        <f>Italy!G$23</f>
        <v>241352.505829137</v>
      </c>
      <c r="H36" s="134">
        <f>Italy!H$23</f>
        <v>260705.750644595</v>
      </c>
      <c r="I36" s="134">
        <f>Italy!I$23</f>
        <v>0</v>
      </c>
      <c r="J36" s="134">
        <f>Italy!J$23</f>
        <v>0</v>
      </c>
      <c r="K36" s="134">
        <f>Italy!K$23</f>
        <v>0</v>
      </c>
      <c r="L36" s="134">
        <f>Italy!L$23</f>
        <v>0</v>
      </c>
      <c r="M36" s="115">
        <f>Italy!M$23</f>
        <v>0</v>
      </c>
      <c r="N36" s="61"/>
      <c r="O36" s="61"/>
      <c r="P36" s="61"/>
      <c r="Q36" s="61"/>
      <c r="R36" s="61"/>
      <c r="S36" s="61"/>
    </row>
    <row r="37" spans="1:19" ht="12.75">
      <c r="A37" s="62" t="s">
        <v>37</v>
      </c>
      <c r="B37" s="63">
        <f t="shared" si="2"/>
        <v>-0.2789250728091078</v>
      </c>
      <c r="C37" s="105">
        <f>Spain!C$12</f>
        <v>5447</v>
      </c>
      <c r="D37" s="80">
        <f>Spain!D$12</f>
        <v>7554</v>
      </c>
      <c r="E37" s="13">
        <f>Spain!E$12</f>
        <v>7881.015133238157</v>
      </c>
      <c r="F37" s="80">
        <f>Spain!F$12</f>
        <v>6043.813919212653</v>
      </c>
      <c r="G37" s="80">
        <f>Spain!G$12</f>
        <v>7216</v>
      </c>
      <c r="H37" s="80">
        <f>Spain!H$12</f>
        <v>11340</v>
      </c>
      <c r="I37" s="80">
        <f>Spain!I$12</f>
        <v>7740</v>
      </c>
      <c r="J37" s="80">
        <f>Spain!J$12</f>
        <v>11263</v>
      </c>
      <c r="K37" s="80">
        <f>Spain!K$12</f>
        <v>12368</v>
      </c>
      <c r="L37" s="80">
        <f>Spain!L$12</f>
        <v>9990</v>
      </c>
      <c r="M37" s="82">
        <f>Spain!M$12</f>
        <v>9600</v>
      </c>
      <c r="N37" s="61"/>
      <c r="O37" s="61"/>
      <c r="P37" s="61"/>
      <c r="Q37" s="61"/>
      <c r="R37" s="61"/>
      <c r="S37" s="61"/>
    </row>
    <row r="38" spans="1:19" ht="12.75">
      <c r="A38" s="62" t="s">
        <v>38</v>
      </c>
      <c r="B38" s="63">
        <f t="shared" si="2"/>
        <v>-0.22272297739332703</v>
      </c>
      <c r="C38" s="105">
        <f>Spain!C$13</f>
        <v>10693</v>
      </c>
      <c r="D38" s="80">
        <f>Spain!D$13</f>
        <v>13757</v>
      </c>
      <c r="E38" s="13">
        <f>Spain!E$13</f>
        <v>16281.454222497301</v>
      </c>
      <c r="F38" s="80">
        <f>Spain!F$13</f>
        <v>14099.650289762667</v>
      </c>
      <c r="G38" s="80">
        <f>Spain!G$13</f>
        <v>16491</v>
      </c>
      <c r="H38" s="80">
        <f>Spain!H$13</f>
        <v>18187</v>
      </c>
      <c r="I38" s="80">
        <f>Spain!I$13</f>
        <v>14836</v>
      </c>
      <c r="J38" s="80">
        <f>Spain!J$13</f>
        <v>25225</v>
      </c>
      <c r="K38" s="80">
        <f>Spain!K$13</f>
        <v>29610</v>
      </c>
      <c r="L38" s="80">
        <f>Spain!L$13</f>
        <v>27570</v>
      </c>
      <c r="M38" s="82">
        <f>Spain!M$13</f>
        <v>22467</v>
      </c>
      <c r="N38" s="58"/>
      <c r="O38" s="58"/>
      <c r="P38" s="58"/>
      <c r="Q38" s="58"/>
      <c r="R38" s="58"/>
      <c r="S38" s="58"/>
    </row>
    <row r="39" spans="1:19" ht="12.75">
      <c r="A39" s="62" t="s">
        <v>6</v>
      </c>
      <c r="B39" s="63">
        <f t="shared" si="2"/>
        <v>0.05830148563041705</v>
      </c>
      <c r="C39" s="105">
        <f>Belgium!C$15+Denmark!C$23+Italy!C$24+Poland!C$21+Spain!C$14+Switzerland!C$24+Netherlands!C$12+UK!C$16+'Czech Republic'!C$16+France!C$32</f>
        <v>631648.3</v>
      </c>
      <c r="D39" s="80">
        <f>Belgium!D$15+Denmark!D$23+Italy!D$24+Poland!D$21+Spain!D$14+Switzerland!D$24+Netherlands!D$12+UK!D$16+'Czech Republic'!D$16+France!D$32</f>
        <v>596851</v>
      </c>
      <c r="E39" s="13">
        <f>Belgium!E$15+Denmark!E$23+Italy!E$24+Poland!E$21+Spain!E$14+Switzerland!E$24+Netherlands!E$12+UK!E$16+'Czech Republic'!E$16+France!E$32</f>
        <v>610956.7724036183</v>
      </c>
      <c r="F39" s="80">
        <f>Belgium!F$15+Denmark!F$23+Italy!F$24+Poland!F$21+Spain!F$14+Switzerland!F$24+Netherlands!F$12+UK!F$16+'Czech Republic'!F$16+France!F$32</f>
        <v>629854.9493514604</v>
      </c>
      <c r="G39" s="80">
        <f>Belgium!G$15+Denmark!G$23+Italy!G$24+Poland!G$21+Spain!G$14+Switzerland!G$24+Netherlands!G$12+UK!G$16+'Czech Republic'!G$16+France!G$32</f>
        <v>642902.9758794354</v>
      </c>
      <c r="H39" s="80">
        <f>Belgium!H$15+Denmark!H$23+Italy!H$24+Poland!H$21+Spain!H$14+Switzerland!H$24+Netherlands!H$12+UK!H$16+'Czech Republic'!H$16+France!H$32</f>
        <v>616309.7562950097</v>
      </c>
      <c r="I39" s="80">
        <f>Belgium!I$15+Denmark!I$23+Italy!I$24+Poland!I$21+Spain!I$14+Switzerland!I$24+Netherlands!I$12+UK!I$16+'Czech Republic'!I$16+France!I$32</f>
        <v>351102</v>
      </c>
      <c r="J39" s="80">
        <f>Belgium!J$15+Denmark!J$23+Italy!J$24+Poland!J$21+Spain!J$14+Switzerland!J$24+Netherlands!J$12+UK!J$16+'Czech Republic'!J$16+France!J$32</f>
        <v>482675</v>
      </c>
      <c r="K39" s="80">
        <f>Belgium!K$15+Denmark!K$23+Italy!K$24+Poland!K$21+Spain!K$14+Switzerland!K$24+Netherlands!K$12+UK!K$16+'Czech Republic'!K$16+France!K$32</f>
        <v>426070.1719494585</v>
      </c>
      <c r="L39" s="80">
        <f>Belgium!L$15+Denmark!L$23+Italy!L$24+Poland!L$21+Spain!L$14+Switzerland!L$24+Netherlands!L$12+UK!L$16+'Czech Republic'!L$16+France!L$32</f>
        <v>413633</v>
      </c>
      <c r="M39" s="82">
        <f>Belgium!M$15+Denmark!M$23+Italy!M$24+Poland!M$21+Spain!M$14+Switzerland!M$24+Netherlands!M$12+UK!M$16+'Czech Republic'!M$16+France!M$32</f>
        <v>270267</v>
      </c>
      <c r="N39" s="58"/>
      <c r="O39" s="58"/>
      <c r="P39" s="58"/>
      <c r="Q39" s="58"/>
      <c r="R39" s="58"/>
      <c r="S39" s="58"/>
    </row>
    <row r="40" spans="1:19" ht="12.75">
      <c r="A40" s="62" t="s">
        <v>93</v>
      </c>
      <c r="B40" s="63">
        <f t="shared" si="2"/>
        <v>0.21561412059601737</v>
      </c>
      <c r="C40" s="105">
        <f>Belgium!C$16+Italy!C$25+Poland!C$22+Netherlands!C$13+UK!C$17+France!C$33+Denmark!C$24</f>
        <v>34917.3</v>
      </c>
      <c r="D40" s="80">
        <f>Belgium!D$16+Italy!D$25+Poland!D$22+Netherlands!D$13+UK!D$17+France!D$33+Denmark!D$24</f>
        <v>28724</v>
      </c>
      <c r="E40" s="13">
        <f>Belgium!E$16+Italy!E$25+Poland!E$22+Netherlands!E$13+UK!E$17+France!E$33+Denmark!E$24</f>
        <v>42970.58382981928</v>
      </c>
      <c r="F40" s="80">
        <f>Belgium!F$16+Italy!F$25+Poland!F$22+Netherlands!F$13+UK!F$17+France!F$33+Denmark!F$24</f>
        <v>55245.54971507919</v>
      </c>
      <c r="G40" s="80">
        <f>Belgium!G$16+Italy!G$25+Poland!G$22+Netherlands!G$13+UK!G$17+France!G$33+Denmark!G$24</f>
        <v>56593.5871917055</v>
      </c>
      <c r="H40" s="80">
        <f>Belgium!H$16+Italy!H$25+Poland!H$22+Netherlands!H$13+UK!H$17+France!H$33+Denmark!H$24</f>
        <v>62377.496720251496</v>
      </c>
      <c r="I40" s="80">
        <f>Belgium!I$16+Italy!I$25+Poland!I$22+Netherlands!I$13+UK!I$17+France!I$33+Denmark!I$24</f>
        <v>14278</v>
      </c>
      <c r="J40" s="80">
        <f>Belgium!J$16+Italy!J$25+Poland!J$22+Netherlands!J$13+UK!J$17+France!J$33+Denmark!J$24</f>
        <v>32434</v>
      </c>
      <c r="K40" s="80">
        <f>Belgium!K$16+Italy!K$25+Poland!K$22+Netherlands!K$13+UK!K$17+France!K$33+Denmark!K$24</f>
        <v>27461.209314079424</v>
      </c>
      <c r="L40" s="80">
        <f>Belgium!L$16+Italy!L$25+Poland!L$22+Netherlands!L$13+UK!L$17+France!L$33+Denmark!L$24</f>
        <v>37499</v>
      </c>
      <c r="M40" s="82">
        <f>Belgium!M$16+Italy!M$25+Poland!M$22+Netherlands!M$13+UK!M$17+France!M$33</f>
        <v>18669</v>
      </c>
      <c r="N40" s="58"/>
      <c r="O40" s="58"/>
      <c r="P40" s="58"/>
      <c r="Q40" s="58"/>
      <c r="R40" s="58"/>
      <c r="S40" s="58"/>
    </row>
    <row r="41" spans="1:19" ht="12.75">
      <c r="A41" s="62" t="s">
        <v>29</v>
      </c>
      <c r="B41" s="63">
        <f t="shared" si="2"/>
        <v>-1</v>
      </c>
      <c r="C41" s="105">
        <f>Italy!C$26</f>
        <v>0</v>
      </c>
      <c r="D41" s="80">
        <f>Italy!D$26</f>
        <v>29525</v>
      </c>
      <c r="E41" s="13">
        <f>Italy!E$26</f>
        <v>24956.912724977</v>
      </c>
      <c r="F41" s="80">
        <f>Italy!F$26</f>
        <v>33532.48925827977</v>
      </c>
      <c r="G41" s="80">
        <f>Italy!G$26</f>
        <v>27243.8096861172</v>
      </c>
      <c r="H41" s="80">
        <f>Italy!H$26</f>
        <v>43502.1767239505</v>
      </c>
      <c r="I41" s="80">
        <f>Italy!I$26</f>
        <v>0</v>
      </c>
      <c r="J41" s="80">
        <f>Italy!J$26</f>
        <v>0</v>
      </c>
      <c r="K41" s="80">
        <f>Italy!K$26</f>
        <v>0</v>
      </c>
      <c r="L41" s="80">
        <f>Italy!L$26</f>
        <v>0</v>
      </c>
      <c r="M41" s="82">
        <f>Italy!M$26</f>
        <v>0</v>
      </c>
      <c r="N41" s="58"/>
      <c r="O41" s="58"/>
      <c r="P41" s="58"/>
      <c r="Q41" s="58"/>
      <c r="R41" s="58"/>
      <c r="S41" s="58"/>
    </row>
    <row r="42" spans="1:19" ht="12.75">
      <c r="A42" s="62" t="s">
        <v>164</v>
      </c>
      <c r="B42" s="63"/>
      <c r="C42" s="105">
        <f>Portugal!C$13</f>
        <v>0</v>
      </c>
      <c r="D42" s="80">
        <f>Portugal!D$13</f>
        <v>0</v>
      </c>
      <c r="E42" s="13">
        <f>Portugal!E$13</f>
        <v>102800</v>
      </c>
      <c r="F42" s="80">
        <f>Portugal!F$13</f>
        <v>78742</v>
      </c>
      <c r="G42" s="80">
        <f>Portugal!G$13</f>
        <v>130473</v>
      </c>
      <c r="H42" s="80">
        <f>Portugal!H$13</f>
        <v>121915</v>
      </c>
      <c r="I42" s="80">
        <f>Portugal!I$13</f>
        <v>61341</v>
      </c>
      <c r="J42" s="80">
        <f>Portugal!J$13</f>
        <v>119764</v>
      </c>
      <c r="K42" s="80">
        <f>Portugal!K$13</f>
        <v>70590</v>
      </c>
      <c r="L42" s="80">
        <f>Portugal!L$13</f>
        <v>91390</v>
      </c>
      <c r="M42" s="82">
        <f>Portugal!M$13</f>
        <v>0</v>
      </c>
      <c r="N42" s="58"/>
      <c r="O42" s="58"/>
      <c r="P42" s="58"/>
      <c r="Q42" s="58"/>
      <c r="R42" s="58"/>
      <c r="S42" s="58"/>
    </row>
    <row r="43" spans="1:19" ht="13.5" thickBot="1">
      <c r="A43" s="64" t="s">
        <v>5</v>
      </c>
      <c r="B43" s="63">
        <f t="shared" si="2"/>
        <v>-0.12858951588794906</v>
      </c>
      <c r="C43" s="105">
        <f>Belgium!C$17+Belgium!C$18+Denmark!C$25+Germany!C$25+Italy!C$27+Poland!C$23+Spain!C$15+Spain!C$16+Switzerland!C$23+Switzerland!C$25+Switzerland!C$26+Switzerland!C$27+Netherlands!C$14+UK!C$18+'Czech Republic'!C$17+'Czech Republic'!C$18+'Czech Republic'!C$19+'Czech Republic'!C$20+France!C$30+France!C$31+France!C$34+France!C$35+France!C$36+France!C$37</f>
        <v>99109</v>
      </c>
      <c r="D43" s="80">
        <f>Belgium!D$17+Belgium!D$18+Denmark!D$25+Germany!D$25+Italy!D$27+Poland!D$23+Spain!D$15+Spain!D$16+Switzerland!D$23+Switzerland!D$25+Switzerland!D$26+Switzerland!D$27+Netherlands!D$14+UK!D$18+'Czech Republic'!D$17+'Czech Republic'!D$18+'Czech Republic'!D$19+'Czech Republic'!D$20+France!D$30+France!D$31+France!D$34+France!D$35+France!D$36+France!D$37</f>
        <v>113734</v>
      </c>
      <c r="E43" s="13">
        <f>Belgium!E$17+Belgium!E$18+Denmark!E$25+Germany!E$25+Italy!E$27+Poland!E$23+Spain!E$15+Spain!E$16+Switzerland!E$23+Switzerland!E$25+Switzerland!E$26+Switzerland!E$27+Netherlands!E$14+UK!E$18+'Czech Republic'!E$17+'Czech Republic'!E$18+'Czech Republic'!E$19+'Czech Republic'!E$20+France!E$30+France!E$31+France!E$34+France!E$35+France!E$36+France!E$37</f>
        <v>128463.288116676</v>
      </c>
      <c r="F43" s="81">
        <f>Belgium!F$17+Belgium!F$18+Denmark!F$25+Germany!F$25+Italy!F$27+Poland!F$23+Spain!F$15+Spain!F$16+Switzerland!F$23+Switzerland!F$25+Switzerland!F$26+Switzerland!F$27+Netherlands!F$14+UK!F$18+'Czech Republic'!F$17+'Czech Republic'!F$18+'Czech Republic'!F$19+'Czech Republic'!F$20+France!F$30+France!F$31+France!F$34+France!F$35+France!F$36+France!F$37</f>
        <v>149097.9306015863</v>
      </c>
      <c r="G43" s="81">
        <f>Belgium!G$17+Belgium!G$18+Denmark!G$25+Germany!G$25+Italy!G$27+Poland!G$23+Spain!G$15+Spain!G$16+Switzerland!G$23+Switzerland!G$25+Switzerland!G$27+Netherlands!G$14+UK!G$18+'Czech Republic'!G$17+'Czech Republic'!G$18+'Czech Republic'!G$19+'Czech Republic'!G$20+France!G$30+France!G$31+France!G$34+France!G$35+France!G$36+France!G$37</f>
        <v>147931.7932030496</v>
      </c>
      <c r="H43" s="81">
        <f>Belgium!H$17+Belgium!H$18+Denmark!H$25+Germany!H$25+Italy!H$27+Poland!H$23+Spain!H$15+Spain!H$16+Switzerland!H$23+Switzerland!H$25+Switzerland!H$27+Netherlands!H$14+UK!H$18+'Czech Republic'!H$17+'Czech Republic'!H$18+'Czech Republic'!H$19+'Czech Republic'!H$20+France!H$30+France!H$31+France!H$34+France!H$35+France!H$36+France!H$37</f>
        <v>183899.18762114499</v>
      </c>
      <c r="I43" s="81">
        <f>Belgium!I$17+Belgium!I$18+Denmark!I$25+Germany!I$25+Italy!I$27+Poland!I$23+Spain!I$15+Spain!I$16+Switzerland!I$23+Switzerland!I$25+Switzerland!I$27+Netherlands!I$14+UK!I$18+'Czech Republic'!I$17+'Czech Republic'!I$18+'Czech Republic'!I$19+'Czech Republic'!I$20+France!I$30+France!I$31+France!I$34+France!I$35+France!I$36+France!I$37</f>
        <v>39012</v>
      </c>
      <c r="J43" s="81">
        <f>Belgium!J$17+Belgium!J$18+Denmark!J$25+Germany!J$25+Italy!J$27+Poland!J$23+Spain!J$15+Spain!J$16+Switzerland!J$23+Switzerland!J$25+Switzerland!J$27+Netherlands!J$14+UK!J$18+'Czech Republic'!J$17+'Czech Republic'!J$18+'Czech Republic'!J$19+'Czech Republic'!J$20+France!J$30+France!J$31+France!J$34+France!J$35+France!J$36+France!J$37</f>
        <v>68443</v>
      </c>
      <c r="K43" s="81">
        <f>Belgium!K$17+Belgium!K$18+Denmark!K$25+Germany!K$25+Italy!K$27+Poland!K$23+Spain!K$15+Spain!K$16+Switzerland!K$23+Switzerland!K$25+Switzerland!K$27+Netherlands!K$14+UK!K$18+'Czech Republic'!K$17+'Czech Republic'!K$18+'Czech Republic'!K$19+'Czech Republic'!K$20+France!K$30+France!K$31+France!K$34+France!K$35+France!K$36+France!K$37</f>
        <v>50299</v>
      </c>
      <c r="L43" s="81">
        <f>Belgium!L$17+Belgium!L$18+Denmark!L$25+Germany!L$25+Italy!L$27+Poland!L$23+Spain!L$15+Spain!L$16+Switzerland!L$23+Switzerland!L$25+Switzerland!L$27+Netherlands!L$14+UK!L$18+'Czech Republic'!L$17+'Czech Republic'!L$18+'Czech Republic'!L$19+'Czech Republic'!L$20+France!L$30+France!L$31+France!L$34+France!L$35+France!L$36+France!L$37</f>
        <v>59842</v>
      </c>
      <c r="M43" s="83">
        <f>Belgium!M$18++'Czech Republic'!M$17+'Czech Republic'!M$18+'Czech Republic'!M$19+Denmark!M$25+Germany!M$25+Italy!M$27+Poland!M$23+Spain!M$15+Spain!M$16+Switzerland!M$23+Switzerland!M$25+Switzerland!M$27+Netherlands!M$14+UK!M$18+'Czech Republic'!M$17+'Czech Republic'!M$18+'Czech Republic'!M$19+'Czech Republic'!M$20+France!M$31+France!M$35+France!M$36+France!M$37+France!M$30</f>
        <v>33941</v>
      </c>
      <c r="N43" s="58"/>
      <c r="O43" s="58"/>
      <c r="P43" s="58"/>
      <c r="Q43" s="58"/>
      <c r="R43" s="58"/>
      <c r="S43" s="58"/>
    </row>
    <row r="44" spans="1:19" ht="13.5" thickBot="1">
      <c r="A44" s="67" t="s">
        <v>92</v>
      </c>
      <c r="B44" s="68">
        <f t="shared" si="2"/>
        <v>-0.23076319106292995</v>
      </c>
      <c r="C44" s="107">
        <f>SUM(C36:C43)</f>
        <v>781814.6000000001</v>
      </c>
      <c r="D44" s="86">
        <f>SUM(D36:D43)</f>
        <v>1016351</v>
      </c>
      <c r="E44" s="84">
        <f>SUM(E36:E43)</f>
        <v>1133408.9050727817</v>
      </c>
      <c r="F44" s="86">
        <f>SUM(F36:F43)</f>
        <v>1199447.2473258374</v>
      </c>
      <c r="G44" s="86">
        <f>SUM(G36:G43)</f>
        <v>1270204.6717894448</v>
      </c>
      <c r="H44" s="86">
        <f aca="true" t="shared" si="3" ref="H44:M44">SUM(H36:H43)</f>
        <v>1318236.3680049519</v>
      </c>
      <c r="I44" s="86">
        <f t="shared" si="3"/>
        <v>488309</v>
      </c>
      <c r="J44" s="86">
        <f t="shared" si="3"/>
        <v>739804</v>
      </c>
      <c r="K44" s="86">
        <f t="shared" si="3"/>
        <v>616398.3812635379</v>
      </c>
      <c r="L44" s="86">
        <f t="shared" si="3"/>
        <v>639924</v>
      </c>
      <c r="M44" s="124">
        <f t="shared" si="3"/>
        <v>354944</v>
      </c>
      <c r="N44" s="58"/>
      <c r="O44" s="58"/>
      <c r="P44" s="58"/>
      <c r="Q44" s="58"/>
      <c r="R44" s="58"/>
      <c r="S44" s="58"/>
    </row>
    <row r="45" spans="1:19" ht="12.75">
      <c r="A45" s="58"/>
      <c r="B45" s="58"/>
      <c r="C45" s="144"/>
      <c r="D45" s="166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</row>
    <row r="46" spans="1:19" ht="12.75">
      <c r="A46" s="61" t="s">
        <v>176</v>
      </c>
      <c r="B46" s="58"/>
      <c r="C46" s="144"/>
      <c r="D46" s="166"/>
      <c r="F46" s="144"/>
      <c r="G46" s="144"/>
      <c r="H46" s="144"/>
      <c r="I46" s="144"/>
      <c r="J46" s="144"/>
      <c r="K46" s="144"/>
      <c r="L46" s="58"/>
      <c r="M46" s="58"/>
      <c r="N46" s="58"/>
      <c r="O46" s="58"/>
      <c r="P46" s="58"/>
      <c r="Q46" s="58"/>
      <c r="R46" s="58"/>
      <c r="S46" s="58"/>
    </row>
    <row r="47" spans="1:19" ht="12.75">
      <c r="A47" s="58"/>
      <c r="B47" s="58"/>
      <c r="C47" s="144"/>
      <c r="D47" s="166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</row>
  </sheetData>
  <sheetProtection/>
  <printOptions/>
  <pageMargins left="0.7086614173228347" right="0.7086614173228347" top="0.17" bottom="0.16" header="0.17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9.28125" style="0" customWidth="1"/>
    <col min="2" max="3" width="10.7109375" style="0" customWidth="1"/>
    <col min="4" max="4" width="10.7109375" style="9" customWidth="1"/>
    <col min="5" max="5" width="10.140625" style="0" customWidth="1"/>
    <col min="6" max="8" width="10.00390625" style="16" customWidth="1"/>
    <col min="9" max="9" width="10.140625" style="16" customWidth="1"/>
    <col min="10" max="10" width="10.28125" style="16" customWidth="1"/>
    <col min="11" max="12" width="10.00390625" style="16" customWidth="1"/>
    <col min="13" max="13" width="10.7109375" style="16" customWidth="1"/>
    <col min="14" max="15" width="9.8515625" style="0" customWidth="1"/>
  </cols>
  <sheetData>
    <row r="1" spans="1:14" s="16" customFormat="1" ht="13.5" thickBot="1">
      <c r="A1" s="30" t="s">
        <v>23</v>
      </c>
      <c r="B1" s="31" t="s">
        <v>188</v>
      </c>
      <c r="C1" s="151">
        <v>43405</v>
      </c>
      <c r="D1" s="99">
        <v>43040</v>
      </c>
      <c r="E1" s="32">
        <v>42675</v>
      </c>
      <c r="F1" s="32">
        <v>42309</v>
      </c>
      <c r="G1" s="32">
        <v>41944</v>
      </c>
      <c r="H1" s="32">
        <v>41579</v>
      </c>
      <c r="I1" s="32">
        <v>41214</v>
      </c>
      <c r="J1" s="32">
        <v>40848</v>
      </c>
      <c r="K1" s="32">
        <v>40483</v>
      </c>
      <c r="L1" s="32">
        <v>40118</v>
      </c>
      <c r="M1" s="32">
        <v>39753</v>
      </c>
      <c r="N1" s="33">
        <v>39387</v>
      </c>
    </row>
    <row r="2" spans="1:14" ht="12.75">
      <c r="A2" s="26" t="s">
        <v>95</v>
      </c>
      <c r="B2" s="34">
        <f>(C2-D2)/D2</f>
        <v>0.7853211009174312</v>
      </c>
      <c r="C2" s="186">
        <f>842+131</f>
        <v>973</v>
      </c>
      <c r="D2" s="172">
        <v>545</v>
      </c>
      <c r="E2" s="13">
        <v>190.97</v>
      </c>
      <c r="F2" s="13">
        <v>1957.82</v>
      </c>
      <c r="G2" s="13">
        <v>2257.58</v>
      </c>
      <c r="H2" s="13"/>
      <c r="I2" s="13">
        <v>1897</v>
      </c>
      <c r="J2" s="13"/>
      <c r="K2" s="13">
        <v>2868</v>
      </c>
      <c r="L2" s="13">
        <v>2954.35</v>
      </c>
      <c r="M2" s="13">
        <v>3650</v>
      </c>
      <c r="N2" s="45">
        <v>3034</v>
      </c>
    </row>
    <row r="3" spans="1:14" ht="12.75">
      <c r="A3" s="26" t="s">
        <v>3</v>
      </c>
      <c r="B3" s="34">
        <f aca="true" t="shared" si="0" ref="B3:B21">(C3-D3)/D3</f>
        <v>1.510204081632653</v>
      </c>
      <c r="C3" s="186">
        <v>123</v>
      </c>
      <c r="D3" s="172">
        <v>49</v>
      </c>
      <c r="E3" s="13">
        <v>19.21</v>
      </c>
      <c r="F3" s="13">
        <v>96.05</v>
      </c>
      <c r="G3" s="13">
        <v>94.92</v>
      </c>
      <c r="H3" s="13"/>
      <c r="I3" s="13">
        <v>50</v>
      </c>
      <c r="J3" s="13"/>
      <c r="K3" s="13">
        <v>210</v>
      </c>
      <c r="L3" s="13">
        <v>204</v>
      </c>
      <c r="M3" s="13">
        <v>102</v>
      </c>
      <c r="N3" s="45"/>
    </row>
    <row r="4" spans="1:14" ht="12.75">
      <c r="A4" s="26" t="s">
        <v>10</v>
      </c>
      <c r="B4" s="34">
        <f t="shared" si="0"/>
        <v>1.1333695258776693</v>
      </c>
      <c r="C4" s="186">
        <f>9890+1899</f>
        <v>11789</v>
      </c>
      <c r="D4" s="172">
        <v>5526</v>
      </c>
      <c r="E4" s="13">
        <v>2479.1</v>
      </c>
      <c r="F4" s="13">
        <v>11604.99</v>
      </c>
      <c r="G4" s="13">
        <v>15098.08</v>
      </c>
      <c r="H4" s="13"/>
      <c r="I4" s="13">
        <v>12661</v>
      </c>
      <c r="J4" s="13"/>
      <c r="K4" s="13">
        <v>16017</v>
      </c>
      <c r="L4" s="13">
        <v>17013</v>
      </c>
      <c r="M4" s="13">
        <v>14566</v>
      </c>
      <c r="N4" s="45">
        <v>12813</v>
      </c>
    </row>
    <row r="5" spans="1:14" ht="12.75">
      <c r="A5" s="26" t="s">
        <v>1</v>
      </c>
      <c r="B5" s="34">
        <f t="shared" si="0"/>
        <v>1.5245428296438883</v>
      </c>
      <c r="C5" s="186">
        <f>5010+236</f>
        <v>5246</v>
      </c>
      <c r="D5" s="172">
        <v>2078</v>
      </c>
      <c r="E5" s="13">
        <v>239.56</v>
      </c>
      <c r="F5" s="13">
        <v>3525.34</v>
      </c>
      <c r="G5" s="13">
        <v>3754.98</v>
      </c>
      <c r="H5" s="13"/>
      <c r="I5" s="13">
        <v>3559</v>
      </c>
      <c r="J5" s="13"/>
      <c r="K5" s="13">
        <v>5736</v>
      </c>
      <c r="L5" s="13">
        <v>5415.35</v>
      </c>
      <c r="M5" s="13">
        <v>5213</v>
      </c>
      <c r="N5" s="45">
        <v>5558</v>
      </c>
    </row>
    <row r="6" spans="1:14" ht="12.75">
      <c r="A6" s="26" t="s">
        <v>170</v>
      </c>
      <c r="B6" s="34">
        <f t="shared" si="0"/>
        <v>0.8878914821464193</v>
      </c>
      <c r="C6" s="186">
        <v>9464</v>
      </c>
      <c r="D6" s="172">
        <v>5013</v>
      </c>
      <c r="E6" s="13">
        <v>2913.14</v>
      </c>
      <c r="F6" s="13">
        <v>6029.68</v>
      </c>
      <c r="G6" s="13">
        <v>5417.22</v>
      </c>
      <c r="H6" s="13"/>
      <c r="I6" s="13"/>
      <c r="J6" s="13"/>
      <c r="K6" s="13"/>
      <c r="L6" s="13"/>
      <c r="M6" s="13"/>
      <c r="N6" s="45"/>
    </row>
    <row r="7" spans="1:14" ht="12.75">
      <c r="A7" s="28" t="s">
        <v>11</v>
      </c>
      <c r="B7" s="34">
        <f t="shared" si="0"/>
        <v>0.8639798488664987</v>
      </c>
      <c r="C7" s="186">
        <v>2960</v>
      </c>
      <c r="D7" s="172">
        <v>1588</v>
      </c>
      <c r="E7" s="13">
        <v>464.43</v>
      </c>
      <c r="F7" s="97">
        <v>1711.95</v>
      </c>
      <c r="G7" s="97">
        <v>2588.2799999999997</v>
      </c>
      <c r="H7" s="97"/>
      <c r="I7" s="97">
        <v>1819</v>
      </c>
      <c r="J7" s="97"/>
      <c r="K7" s="97">
        <v>2114</v>
      </c>
      <c r="L7" s="97">
        <v>2417</v>
      </c>
      <c r="M7" s="97">
        <v>1372</v>
      </c>
      <c r="N7" s="45"/>
    </row>
    <row r="8" spans="1:14" ht="12.75">
      <c r="A8" s="26" t="s">
        <v>8</v>
      </c>
      <c r="B8" s="34">
        <f t="shared" si="0"/>
        <v>0.9443648030582292</v>
      </c>
      <c r="C8" s="186">
        <f>23984+4499</f>
        <v>28483</v>
      </c>
      <c r="D8" s="172">
        <v>14649</v>
      </c>
      <c r="E8" s="13">
        <v>3374.68</v>
      </c>
      <c r="F8" s="13">
        <v>29480.84</v>
      </c>
      <c r="G8" s="13">
        <v>24072.17</v>
      </c>
      <c r="H8" s="13"/>
      <c r="I8" s="13">
        <v>22147</v>
      </c>
      <c r="J8" s="13"/>
      <c r="K8" s="13">
        <v>30237</v>
      </c>
      <c r="L8" s="13">
        <v>27091.7</v>
      </c>
      <c r="M8" s="13">
        <v>24521</v>
      </c>
      <c r="N8" s="45">
        <v>22472</v>
      </c>
    </row>
    <row r="9" spans="1:14" ht="12.75">
      <c r="A9" s="26" t="s">
        <v>13</v>
      </c>
      <c r="B9" s="34"/>
      <c r="C9" s="186"/>
      <c r="D9" s="172"/>
      <c r="E9" s="13"/>
      <c r="F9" s="13"/>
      <c r="G9" s="13"/>
      <c r="H9" s="13"/>
      <c r="I9" s="13"/>
      <c r="J9" s="13"/>
      <c r="K9" s="13">
        <v>161</v>
      </c>
      <c r="L9" s="13">
        <v>579.6</v>
      </c>
      <c r="M9" s="13">
        <v>300</v>
      </c>
      <c r="N9" s="45">
        <v>192</v>
      </c>
    </row>
    <row r="10" spans="1:14" ht="12.75">
      <c r="A10" s="26" t="s">
        <v>2</v>
      </c>
      <c r="B10" s="34">
        <f t="shared" si="0"/>
        <v>0.10955607390129216</v>
      </c>
      <c r="C10" s="186">
        <f>28592+1376</f>
        <v>29968</v>
      </c>
      <c r="D10" s="172">
        <v>27009</v>
      </c>
      <c r="E10" s="13">
        <v>19867.15</v>
      </c>
      <c r="F10" s="13">
        <v>45506.770000000004</v>
      </c>
      <c r="G10" s="13">
        <v>51931.58</v>
      </c>
      <c r="H10" s="13"/>
      <c r="I10" s="13">
        <v>46508</v>
      </c>
      <c r="J10" s="13"/>
      <c r="K10" s="13">
        <v>51126</v>
      </c>
      <c r="L10" s="13">
        <v>48572.55</v>
      </c>
      <c r="M10" s="13">
        <v>51328</v>
      </c>
      <c r="N10" s="45">
        <v>49462</v>
      </c>
    </row>
    <row r="11" spans="1:14" ht="12.75">
      <c r="A11" s="26" t="s">
        <v>16</v>
      </c>
      <c r="B11" s="34">
        <f t="shared" si="0"/>
        <v>0.15441176470588236</v>
      </c>
      <c r="C11" s="186">
        <v>314</v>
      </c>
      <c r="D11" s="172">
        <v>272</v>
      </c>
      <c r="E11" s="13">
        <v>73.45</v>
      </c>
      <c r="F11" s="97">
        <v>975.19</v>
      </c>
      <c r="G11" s="97">
        <v>552.57</v>
      </c>
      <c r="H11" s="97"/>
      <c r="I11" s="97">
        <v>183</v>
      </c>
      <c r="J11" s="97"/>
      <c r="K11" s="97">
        <v>230</v>
      </c>
      <c r="L11" s="97">
        <v>255.3</v>
      </c>
      <c r="M11" s="97">
        <v>120</v>
      </c>
      <c r="N11" s="45"/>
    </row>
    <row r="12" spans="1:14" ht="12.75">
      <c r="A12" s="27" t="s">
        <v>9</v>
      </c>
      <c r="B12" s="34">
        <f t="shared" si="0"/>
        <v>1.3131688141515614</v>
      </c>
      <c r="C12" s="186">
        <f>9498+1094</f>
        <v>10592</v>
      </c>
      <c r="D12" s="172">
        <v>4579</v>
      </c>
      <c r="E12" s="13">
        <v>398.29</v>
      </c>
      <c r="F12" s="97">
        <v>15364.98</v>
      </c>
      <c r="G12" s="97">
        <v>15666.85</v>
      </c>
      <c r="H12" s="97"/>
      <c r="I12" s="97">
        <v>14628</v>
      </c>
      <c r="J12" s="97"/>
      <c r="K12" s="97">
        <v>21548</v>
      </c>
      <c r="L12" s="97">
        <v>22232.95</v>
      </c>
      <c r="M12" s="97">
        <v>20865</v>
      </c>
      <c r="N12" s="45">
        <v>21898</v>
      </c>
    </row>
    <row r="13" spans="1:14" ht="12.75">
      <c r="A13" s="27" t="s">
        <v>26</v>
      </c>
      <c r="B13" s="34">
        <f t="shared" si="0"/>
        <v>0.9970825852782765</v>
      </c>
      <c r="C13" s="186">
        <f>8485+414</f>
        <v>8899</v>
      </c>
      <c r="D13" s="172">
        <v>4456</v>
      </c>
      <c r="E13" s="13">
        <v>1681.06</v>
      </c>
      <c r="F13" s="97">
        <v>9422.4</v>
      </c>
      <c r="G13" s="97">
        <v>9942.27</v>
      </c>
      <c r="H13" s="97"/>
      <c r="I13" s="97">
        <v>8053</v>
      </c>
      <c r="J13" s="97"/>
      <c r="K13" s="97">
        <v>10987</v>
      </c>
      <c r="L13" s="97">
        <v>12984.65</v>
      </c>
      <c r="M13" s="97">
        <v>9936</v>
      </c>
      <c r="N13" s="45">
        <v>12694</v>
      </c>
    </row>
    <row r="14" spans="1:14" ht="12.75">
      <c r="A14" s="28" t="s">
        <v>25</v>
      </c>
      <c r="B14" s="34"/>
      <c r="C14" s="186">
        <v>0</v>
      </c>
      <c r="D14" s="172">
        <v>0</v>
      </c>
      <c r="E14" s="13">
        <v>39.55</v>
      </c>
      <c r="F14" s="97">
        <v>2394.4700000000003</v>
      </c>
      <c r="G14" s="97">
        <v>3706.4</v>
      </c>
      <c r="H14" s="97"/>
      <c r="I14" s="97">
        <v>3030</v>
      </c>
      <c r="J14" s="97"/>
      <c r="K14" s="97">
        <v>5591</v>
      </c>
      <c r="L14" s="97">
        <v>4869.1</v>
      </c>
      <c r="M14" s="97">
        <v>4111</v>
      </c>
      <c r="N14" s="45"/>
    </row>
    <row r="15" spans="1:14" ht="12.75">
      <c r="A15" s="28" t="s">
        <v>96</v>
      </c>
      <c r="B15" s="34">
        <f t="shared" si="0"/>
        <v>1.1926605504587156</v>
      </c>
      <c r="C15" s="186">
        <f>1106+89</f>
        <v>1195</v>
      </c>
      <c r="D15" s="172">
        <v>545</v>
      </c>
      <c r="E15" s="13">
        <v>105.09</v>
      </c>
      <c r="F15" s="97">
        <v>803.17</v>
      </c>
      <c r="G15" s="97">
        <v>581.39</v>
      </c>
      <c r="H15" s="97"/>
      <c r="I15" s="97">
        <v>239</v>
      </c>
      <c r="J15" s="97"/>
      <c r="K15" s="97">
        <v>635</v>
      </c>
      <c r="L15" s="97">
        <v>902</v>
      </c>
      <c r="M15" s="97">
        <v>530</v>
      </c>
      <c r="N15" s="45"/>
    </row>
    <row r="16" spans="1:14" ht="12.75">
      <c r="A16" s="28" t="s">
        <v>12</v>
      </c>
      <c r="B16" s="34">
        <f t="shared" si="0"/>
        <v>1.209271523178808</v>
      </c>
      <c r="C16" s="186">
        <f>1357+311</f>
        <v>1668</v>
      </c>
      <c r="D16" s="172">
        <v>755</v>
      </c>
      <c r="E16" s="13">
        <v>631.34</v>
      </c>
      <c r="F16" s="97">
        <v>1827.8899999999999</v>
      </c>
      <c r="G16" s="97">
        <v>2394.15</v>
      </c>
      <c r="H16" s="97"/>
      <c r="I16" s="97">
        <v>2179</v>
      </c>
      <c r="J16" s="97"/>
      <c r="K16" s="97">
        <v>3620</v>
      </c>
      <c r="L16" s="97">
        <v>2685</v>
      </c>
      <c r="M16" s="97">
        <v>2631</v>
      </c>
      <c r="N16" s="45"/>
    </row>
    <row r="17" spans="1:14" ht="12.75">
      <c r="A17" s="28" t="s">
        <v>133</v>
      </c>
      <c r="B17" s="34">
        <f t="shared" si="0"/>
        <v>2.299645390070922</v>
      </c>
      <c r="C17" s="186">
        <v>1861</v>
      </c>
      <c r="D17" s="172">
        <v>564</v>
      </c>
      <c r="E17" s="13"/>
      <c r="F17" s="97"/>
      <c r="G17" s="97"/>
      <c r="H17" s="97"/>
      <c r="I17" s="97"/>
      <c r="J17" s="97"/>
      <c r="K17" s="97"/>
      <c r="L17" s="97"/>
      <c r="M17" s="97"/>
      <c r="N17" s="45"/>
    </row>
    <row r="18" spans="1:14" ht="12.75">
      <c r="A18" s="28" t="s">
        <v>116</v>
      </c>
      <c r="B18" s="34">
        <f t="shared" si="0"/>
        <v>1.0227272727272727</v>
      </c>
      <c r="C18" s="186">
        <v>89</v>
      </c>
      <c r="D18" s="172">
        <v>44</v>
      </c>
      <c r="E18" s="13">
        <v>5</v>
      </c>
      <c r="F18" s="13">
        <v>70.06</v>
      </c>
      <c r="G18" s="13">
        <v>79.1</v>
      </c>
      <c r="H18" s="13"/>
      <c r="I18" s="13">
        <v>95</v>
      </c>
      <c r="J18" s="13"/>
      <c r="K18" s="13">
        <v>205</v>
      </c>
      <c r="L18" s="13">
        <v>472</v>
      </c>
      <c r="M18" s="13">
        <v>373</v>
      </c>
      <c r="N18" s="45"/>
    </row>
    <row r="19" spans="1:14" ht="12.75">
      <c r="A19" s="28" t="s">
        <v>97</v>
      </c>
      <c r="B19" s="34">
        <f t="shared" si="0"/>
        <v>3.3103727714748783</v>
      </c>
      <c r="C19" s="186">
        <f>965+4354</f>
        <v>5319</v>
      </c>
      <c r="D19" s="172">
        <v>1234</v>
      </c>
      <c r="E19" s="13">
        <v>938</v>
      </c>
      <c r="F19" s="13">
        <v>5074.14</v>
      </c>
      <c r="G19" s="13">
        <v>4239.07</v>
      </c>
      <c r="H19" s="13"/>
      <c r="I19" s="13">
        <v>1696</v>
      </c>
      <c r="J19" s="13"/>
      <c r="K19" s="13">
        <v>3509</v>
      </c>
      <c r="L19" s="13">
        <v>658</v>
      </c>
      <c r="M19" s="13">
        <v>694</v>
      </c>
      <c r="N19" s="45"/>
    </row>
    <row r="20" spans="1:14" ht="13.5" thickBot="1">
      <c r="A20" s="29" t="s">
        <v>58</v>
      </c>
      <c r="B20" s="35">
        <f t="shared" si="0"/>
        <v>10.518072289156626</v>
      </c>
      <c r="C20" s="187">
        <f>2865+959</f>
        <v>3824</v>
      </c>
      <c r="D20" s="173">
        <v>332</v>
      </c>
      <c r="E20" s="15">
        <v>379.91</v>
      </c>
      <c r="F20" s="98">
        <v>421.15999999999997</v>
      </c>
      <c r="G20" s="98">
        <v>523.12</v>
      </c>
      <c r="H20" s="98"/>
      <c r="I20" s="98">
        <v>3060</v>
      </c>
      <c r="J20" s="98"/>
      <c r="K20" s="98">
        <v>752</v>
      </c>
      <c r="L20" s="98">
        <v>506</v>
      </c>
      <c r="M20" s="98">
        <v>2769</v>
      </c>
      <c r="N20" s="46">
        <v>13343</v>
      </c>
    </row>
    <row r="21" spans="1:14" ht="13.5" thickBot="1">
      <c r="A21" s="44" t="s">
        <v>22</v>
      </c>
      <c r="B21" s="40">
        <f t="shared" si="0"/>
        <v>0.7731159190040151</v>
      </c>
      <c r="C21" s="96">
        <f>SUM(C2:C20)</f>
        <v>122767</v>
      </c>
      <c r="D21" s="174">
        <f>SUM(D2:D20)</f>
        <v>69238</v>
      </c>
      <c r="E21" s="41">
        <f>SUM(E2:E20)</f>
        <v>33799.93000000001</v>
      </c>
      <c r="F21" s="41">
        <f>SUM(F2:F20)</f>
        <v>136266.9</v>
      </c>
      <c r="G21" s="41">
        <f>SUM(G2:G20)</f>
        <v>142899.73</v>
      </c>
      <c r="H21" s="41"/>
      <c r="I21" s="41">
        <f>SUM(I2:I20)</f>
        <v>121804</v>
      </c>
      <c r="J21" s="41"/>
      <c r="K21" s="41">
        <f>SUM(K2:K20)</f>
        <v>155546</v>
      </c>
      <c r="L21" s="41">
        <f>SUM(L2:L20)</f>
        <v>149812.55</v>
      </c>
      <c r="M21" s="41">
        <f>SUM(M2:M20)</f>
        <v>143081</v>
      </c>
      <c r="N21" s="47">
        <f>SUM(N2:N20)</f>
        <v>141466</v>
      </c>
    </row>
    <row r="22" spans="2:16" s="9" customFormat="1" ht="12.75">
      <c r="B22" s="43"/>
      <c r="C22" s="43"/>
      <c r="D22" s="43"/>
      <c r="E22" s="43"/>
      <c r="F22" s="12"/>
      <c r="G22" s="12"/>
      <c r="H22" s="12"/>
      <c r="I22" s="12"/>
      <c r="J22" s="12"/>
      <c r="K22" s="12"/>
      <c r="L22" s="12"/>
      <c r="M22" s="12"/>
      <c r="P22" s="8"/>
    </row>
    <row r="23" spans="6:15" ht="12.75">
      <c r="F23" s="118"/>
      <c r="G23" s="118"/>
      <c r="H23" s="118"/>
      <c r="I23" s="118"/>
      <c r="J23" s="118"/>
      <c r="K23" s="118"/>
      <c r="L23" s="118"/>
      <c r="M23" s="118"/>
      <c r="O23" s="1"/>
    </row>
    <row r="27" spans="14:16" ht="17.25">
      <c r="N27" s="5"/>
      <c r="O27" s="1"/>
      <c r="P27" s="1"/>
    </row>
    <row r="28" spans="14:16" ht="17.25">
      <c r="N28" s="5"/>
      <c r="O28" s="1"/>
      <c r="P28" s="1"/>
    </row>
    <row r="29" spans="14:16" ht="17.25">
      <c r="N29" s="5"/>
      <c r="O29" s="1"/>
      <c r="P29" s="1"/>
    </row>
    <row r="30" spans="14:16" ht="17.25">
      <c r="N30" s="5"/>
      <c r="O30" s="1"/>
      <c r="P30" s="1"/>
    </row>
    <row r="31" spans="14:16" ht="17.25">
      <c r="N31" s="5"/>
      <c r="O31" s="1"/>
      <c r="P31" s="1"/>
    </row>
    <row r="32" spans="14:16" ht="17.25">
      <c r="N32" s="5"/>
      <c r="O32" s="1"/>
      <c r="P32" s="1"/>
    </row>
    <row r="33" spans="14:16" ht="17.25">
      <c r="N33" s="5"/>
      <c r="O33" s="1"/>
      <c r="P33" s="1"/>
    </row>
    <row r="34" spans="14:16" ht="17.25">
      <c r="N34" s="5"/>
      <c r="O34" s="1"/>
      <c r="P34" s="1"/>
    </row>
    <row r="35" spans="14:16" ht="17.25">
      <c r="N35" s="5"/>
      <c r="O35" s="1"/>
      <c r="P35" s="1"/>
    </row>
    <row r="36" spans="14:16" ht="17.25">
      <c r="N36" s="5"/>
      <c r="O36" s="1"/>
      <c r="P36" s="1"/>
    </row>
    <row r="37" spans="14:16" ht="17.25">
      <c r="N37" s="6"/>
      <c r="O37" s="1"/>
      <c r="P37" s="1"/>
    </row>
    <row r="38" spans="14:16" ht="18">
      <c r="N38" s="7"/>
      <c r="O38" s="2"/>
      <c r="P38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9.28125" style="0" customWidth="1"/>
    <col min="2" max="3" width="10.7109375" style="0" customWidth="1"/>
    <col min="4" max="4" width="10.7109375" style="9" customWidth="1"/>
    <col min="5" max="5" width="10.00390625" style="0" customWidth="1"/>
    <col min="6" max="8" width="10.140625" style="16" customWidth="1"/>
    <col min="9" max="9" width="10.57421875" style="16" customWidth="1"/>
    <col min="10" max="10" width="10.28125" style="16" customWidth="1"/>
    <col min="11" max="11" width="9.8515625" style="16" customWidth="1"/>
    <col min="12" max="12" width="10.57421875" style="16" customWidth="1"/>
    <col min="13" max="13" width="10.421875" style="16" customWidth="1"/>
    <col min="14" max="14" width="11.00390625" style="0" customWidth="1"/>
  </cols>
  <sheetData>
    <row r="1" spans="1:14" s="16" customFormat="1" ht="13.5" thickBot="1">
      <c r="A1" s="30" t="s">
        <v>23</v>
      </c>
      <c r="B1" s="31" t="s">
        <v>188</v>
      </c>
      <c r="C1" s="151">
        <v>43405</v>
      </c>
      <c r="D1" s="99">
        <v>43040</v>
      </c>
      <c r="E1" s="32">
        <v>42675</v>
      </c>
      <c r="F1" s="32">
        <v>42309</v>
      </c>
      <c r="G1" s="32">
        <v>41944</v>
      </c>
      <c r="H1" s="32">
        <v>41579</v>
      </c>
      <c r="I1" s="32">
        <v>41214</v>
      </c>
      <c r="J1" s="32">
        <v>40848</v>
      </c>
      <c r="K1" s="32">
        <v>40483</v>
      </c>
      <c r="L1" s="32">
        <v>40118</v>
      </c>
      <c r="M1" s="32">
        <v>39753</v>
      </c>
      <c r="N1" s="33">
        <v>39387</v>
      </c>
    </row>
    <row r="2" spans="1:14" ht="12.75">
      <c r="A2" s="26" t="s">
        <v>3</v>
      </c>
      <c r="B2" s="34">
        <f>(C2-D2)/D2</f>
        <v>8.178217821782178</v>
      </c>
      <c r="C2" s="186">
        <v>8343</v>
      </c>
      <c r="D2" s="75">
        <v>909</v>
      </c>
      <c r="E2" s="13">
        <v>4017</v>
      </c>
      <c r="F2" s="13">
        <v>8973</v>
      </c>
      <c r="G2" s="13">
        <v>10111</v>
      </c>
      <c r="H2" s="13">
        <v>4847</v>
      </c>
      <c r="I2" s="13">
        <v>3823</v>
      </c>
      <c r="J2" s="13">
        <v>4320</v>
      </c>
      <c r="K2" s="13">
        <v>2487</v>
      </c>
      <c r="L2" s="13">
        <v>4985</v>
      </c>
      <c r="M2" s="13">
        <v>7439</v>
      </c>
      <c r="N2" s="45">
        <v>6700</v>
      </c>
    </row>
    <row r="3" spans="1:14" ht="12.75">
      <c r="A3" s="52" t="s">
        <v>184</v>
      </c>
      <c r="B3" s="34"/>
      <c r="C3" s="186"/>
      <c r="D3" s="13"/>
      <c r="E3" s="13"/>
      <c r="F3" s="13"/>
      <c r="G3" s="13">
        <v>0</v>
      </c>
      <c r="H3" s="13">
        <v>740</v>
      </c>
      <c r="I3" s="13">
        <v>400</v>
      </c>
      <c r="J3" s="13">
        <v>345</v>
      </c>
      <c r="K3" s="13">
        <v>0</v>
      </c>
      <c r="L3" s="13">
        <v>328</v>
      </c>
      <c r="M3" s="13">
        <v>974</v>
      </c>
      <c r="N3" s="45">
        <v>1000</v>
      </c>
    </row>
    <row r="4" spans="1:14" ht="12.75">
      <c r="A4" s="26" t="s">
        <v>1</v>
      </c>
      <c r="B4" s="34">
        <f aca="true" t="shared" si="0" ref="B4:B10">(C4-D4)/D4</f>
        <v>3.4184971098265895</v>
      </c>
      <c r="C4" s="186">
        <v>3822</v>
      </c>
      <c r="D4" s="13">
        <v>865</v>
      </c>
      <c r="E4" s="13">
        <v>1177</v>
      </c>
      <c r="F4" s="13">
        <v>2717</v>
      </c>
      <c r="G4" s="13">
        <v>3906</v>
      </c>
      <c r="H4" s="13">
        <v>1743</v>
      </c>
      <c r="I4" s="13">
        <v>2525</v>
      </c>
      <c r="J4" s="13">
        <v>2112</v>
      </c>
      <c r="K4" s="13">
        <v>793</v>
      </c>
      <c r="L4" s="13">
        <v>1731</v>
      </c>
      <c r="M4" s="13">
        <v>936</v>
      </c>
      <c r="N4" s="45">
        <v>1700</v>
      </c>
    </row>
    <row r="5" spans="1:14" ht="12.75">
      <c r="A5" s="26" t="s">
        <v>102</v>
      </c>
      <c r="B5" s="34"/>
      <c r="C5" s="186"/>
      <c r="D5" s="13"/>
      <c r="E5" s="13"/>
      <c r="F5" s="13"/>
      <c r="G5" s="13"/>
      <c r="H5" s="13"/>
      <c r="I5" s="13"/>
      <c r="J5" s="13"/>
      <c r="K5" s="13"/>
      <c r="L5" s="13"/>
      <c r="M5" s="13"/>
      <c r="N5" s="45">
        <v>400</v>
      </c>
    </row>
    <row r="6" spans="1:14" ht="12.75">
      <c r="A6" s="26" t="s">
        <v>2</v>
      </c>
      <c r="B6" s="34">
        <f t="shared" si="0"/>
        <v>0.601651112706389</v>
      </c>
      <c r="C6" s="186">
        <v>22311</v>
      </c>
      <c r="D6" s="13">
        <v>13930</v>
      </c>
      <c r="E6" s="13">
        <v>18134</v>
      </c>
      <c r="F6" s="13">
        <v>24584</v>
      </c>
      <c r="G6" s="13">
        <v>22873</v>
      </c>
      <c r="H6" s="13">
        <v>24179</v>
      </c>
      <c r="I6" s="13">
        <v>20615</v>
      </c>
      <c r="J6" s="13">
        <v>15849</v>
      </c>
      <c r="K6" s="13">
        <v>16127</v>
      </c>
      <c r="L6" s="13">
        <v>24047</v>
      </c>
      <c r="M6" s="13">
        <v>18550</v>
      </c>
      <c r="N6" s="45">
        <v>19550</v>
      </c>
    </row>
    <row r="7" spans="1:14" ht="12.75">
      <c r="A7" s="27" t="s">
        <v>26</v>
      </c>
      <c r="B7" s="34">
        <f t="shared" si="0"/>
        <v>4.9976542764345</v>
      </c>
      <c r="C7" s="186">
        <v>99717</v>
      </c>
      <c r="D7" s="13">
        <v>16626</v>
      </c>
      <c r="E7" s="13">
        <v>74577</v>
      </c>
      <c r="F7" s="97">
        <v>106267</v>
      </c>
      <c r="G7" s="97">
        <v>110550</v>
      </c>
      <c r="H7" s="97">
        <v>77753</v>
      </c>
      <c r="I7" s="97">
        <v>74324</v>
      </c>
      <c r="J7" s="97">
        <v>60867</v>
      </c>
      <c r="K7" s="97">
        <v>75560</v>
      </c>
      <c r="L7" s="97">
        <v>101537</v>
      </c>
      <c r="M7" s="97">
        <v>122351</v>
      </c>
      <c r="N7" s="45">
        <v>107750</v>
      </c>
    </row>
    <row r="8" spans="1:14" ht="12.75">
      <c r="A8" s="28" t="s">
        <v>25</v>
      </c>
      <c r="B8" s="34">
        <f t="shared" si="0"/>
        <v>4.53793256433008</v>
      </c>
      <c r="C8" s="186">
        <v>49930</v>
      </c>
      <c r="D8" s="13">
        <v>9016</v>
      </c>
      <c r="E8" s="13">
        <v>42308</v>
      </c>
      <c r="F8" s="97">
        <v>51538</v>
      </c>
      <c r="G8" s="97">
        <v>60160</v>
      </c>
      <c r="H8" s="97">
        <v>41000</v>
      </c>
      <c r="I8" s="97">
        <v>44461</v>
      </c>
      <c r="J8" s="97">
        <v>42399</v>
      </c>
      <c r="K8" s="97">
        <v>36568</v>
      </c>
      <c r="L8" s="97">
        <v>39571</v>
      </c>
      <c r="M8" s="97">
        <v>45064</v>
      </c>
      <c r="N8" s="45">
        <v>40600</v>
      </c>
    </row>
    <row r="9" spans="1:14" ht="13.5" thickBot="1">
      <c r="A9" s="119" t="s">
        <v>5</v>
      </c>
      <c r="B9" s="35">
        <f t="shared" si="0"/>
        <v>2.9261451863354035</v>
      </c>
      <c r="C9" s="187">
        <f>2133+400+6050+2570+4437+2220+22645</f>
        <v>40455</v>
      </c>
      <c r="D9" s="15">
        <v>10304</v>
      </c>
      <c r="E9" s="15">
        <v>20284</v>
      </c>
      <c r="F9" s="98">
        <v>35953</v>
      </c>
      <c r="G9" s="98">
        <v>34345</v>
      </c>
      <c r="H9" s="98">
        <v>35894</v>
      </c>
      <c r="I9" s="98">
        <v>27436</v>
      </c>
      <c r="J9" s="98">
        <v>43582</v>
      </c>
      <c r="K9" s="98">
        <v>23054</v>
      </c>
      <c r="L9" s="98">
        <v>19372</v>
      </c>
      <c r="M9" s="98">
        <v>35148</v>
      </c>
      <c r="N9" s="46">
        <v>24000</v>
      </c>
    </row>
    <row r="10" spans="1:14" ht="13.5" thickBot="1">
      <c r="A10" s="44" t="s">
        <v>22</v>
      </c>
      <c r="B10" s="40">
        <f t="shared" si="0"/>
        <v>3.3480735721200388</v>
      </c>
      <c r="C10" s="96">
        <f>SUM(C2:C9)</f>
        <v>224578</v>
      </c>
      <c r="D10" s="41">
        <v>51650</v>
      </c>
      <c r="E10" s="41">
        <f>SUM(E2:E9)</f>
        <v>160497</v>
      </c>
      <c r="F10" s="41">
        <v>230032</v>
      </c>
      <c r="G10" s="41">
        <f aca="true" t="shared" si="1" ref="G10:N10">SUM(G2:G9)</f>
        <v>241945</v>
      </c>
      <c r="H10" s="41">
        <f t="shared" si="1"/>
        <v>186156</v>
      </c>
      <c r="I10" s="41">
        <f t="shared" si="1"/>
        <v>173584</v>
      </c>
      <c r="J10" s="41">
        <f t="shared" si="1"/>
        <v>169474</v>
      </c>
      <c r="K10" s="41">
        <f t="shared" si="1"/>
        <v>154589</v>
      </c>
      <c r="L10" s="41">
        <f t="shared" si="1"/>
        <v>191571</v>
      </c>
      <c r="M10" s="41">
        <f t="shared" si="1"/>
        <v>230462</v>
      </c>
      <c r="N10" s="47">
        <f t="shared" si="1"/>
        <v>201700</v>
      </c>
    </row>
    <row r="11" spans="1:14" s="9" customFormat="1" ht="12.75">
      <c r="A11" s="9" t="s">
        <v>103</v>
      </c>
      <c r="B11" s="43"/>
      <c r="C11" s="43"/>
      <c r="D11" s="43"/>
      <c r="E11" s="43"/>
      <c r="F11" s="12"/>
      <c r="G11" s="12"/>
      <c r="H11" s="12"/>
      <c r="I11" s="12"/>
      <c r="J11" s="12"/>
      <c r="K11" s="12"/>
      <c r="L11" s="12"/>
      <c r="M11" s="12"/>
      <c r="N11" s="159"/>
    </row>
    <row r="12" spans="1:14" s="9" customFormat="1" ht="12.75">
      <c r="A12" s="166" t="s">
        <v>183</v>
      </c>
      <c r="B12" s="43"/>
      <c r="C12" s="43"/>
      <c r="D12" s="43"/>
      <c r="E12" s="43"/>
      <c r="F12" s="12"/>
      <c r="G12" s="12"/>
      <c r="H12" s="12"/>
      <c r="I12" s="12"/>
      <c r="J12" s="12"/>
      <c r="K12" s="12"/>
      <c r="L12" s="12"/>
      <c r="M12" s="12"/>
      <c r="N12" s="159"/>
    </row>
    <row r="13" spans="2:14" s="9" customFormat="1" ht="13.5" thickBot="1">
      <c r="B13" s="43"/>
      <c r="C13" s="43"/>
      <c r="D13" s="43"/>
      <c r="E13" s="43"/>
      <c r="F13" s="12"/>
      <c r="G13" s="12"/>
      <c r="H13" s="12"/>
      <c r="I13" s="12"/>
      <c r="J13" s="12"/>
      <c r="K13" s="12"/>
      <c r="L13" s="12"/>
      <c r="M13" s="12"/>
      <c r="N13" s="159"/>
    </row>
    <row r="14" spans="1:14" s="16" customFormat="1" ht="13.5" thickBot="1">
      <c r="A14" s="30" t="s">
        <v>24</v>
      </c>
      <c r="B14" s="31" t="s">
        <v>188</v>
      </c>
      <c r="C14" s="151">
        <v>43405</v>
      </c>
      <c r="D14" s="99">
        <v>43040</v>
      </c>
      <c r="E14" s="32">
        <v>42675</v>
      </c>
      <c r="F14" s="32">
        <v>42309</v>
      </c>
      <c r="G14" s="32">
        <f>G1</f>
        <v>41944</v>
      </c>
      <c r="H14" s="32">
        <v>41579</v>
      </c>
      <c r="I14" s="32">
        <v>41214</v>
      </c>
      <c r="J14" s="32">
        <v>40848</v>
      </c>
      <c r="K14" s="32">
        <v>40483</v>
      </c>
      <c r="L14" s="32">
        <v>40118</v>
      </c>
      <c r="M14" s="32">
        <v>39753</v>
      </c>
      <c r="N14" s="33">
        <v>39387</v>
      </c>
    </row>
    <row r="15" spans="1:14" ht="12.75">
      <c r="A15" s="26" t="s">
        <v>6</v>
      </c>
      <c r="B15" s="34">
        <f>(C15-D15)/D15</f>
        <v>0.21405066097487818</v>
      </c>
      <c r="C15" s="186">
        <v>279279</v>
      </c>
      <c r="D15" s="13">
        <v>230039</v>
      </c>
      <c r="E15" s="13">
        <v>253018</v>
      </c>
      <c r="F15" s="13">
        <v>290690</v>
      </c>
      <c r="G15" s="13">
        <v>254564</v>
      </c>
      <c r="H15" s="13">
        <v>226865</v>
      </c>
      <c r="I15" s="13">
        <v>165000</v>
      </c>
      <c r="J15" s="13">
        <v>195137</v>
      </c>
      <c r="K15" s="13">
        <v>160078.17194945848</v>
      </c>
      <c r="L15" s="13">
        <v>153776</v>
      </c>
      <c r="M15" s="13">
        <v>78451</v>
      </c>
      <c r="N15" s="45">
        <v>134100</v>
      </c>
    </row>
    <row r="16" spans="1:14" ht="12.75">
      <c r="A16" s="26" t="s">
        <v>101</v>
      </c>
      <c r="B16" s="34">
        <f>(C16-D16)/D16</f>
        <v>3.310055865921788</v>
      </c>
      <c r="C16" s="186">
        <v>13887</v>
      </c>
      <c r="D16" s="13">
        <v>3222</v>
      </c>
      <c r="E16" s="13">
        <v>9350</v>
      </c>
      <c r="F16" s="13">
        <v>16893</v>
      </c>
      <c r="G16" s="13">
        <v>14953</v>
      </c>
      <c r="H16" s="13">
        <v>13962</v>
      </c>
      <c r="I16" s="13">
        <v>2500</v>
      </c>
      <c r="J16" s="13">
        <v>10228</v>
      </c>
      <c r="K16" s="13">
        <v>8447.209314079422</v>
      </c>
      <c r="L16" s="13">
        <v>12794</v>
      </c>
      <c r="M16" s="13">
        <v>2794</v>
      </c>
      <c r="N16" s="45">
        <v>9400</v>
      </c>
    </row>
    <row r="17" spans="1:14" ht="12.75">
      <c r="A17" s="26" t="s">
        <v>172</v>
      </c>
      <c r="B17" s="34">
        <f>(C17-D17)/D17</f>
        <v>0.07582938388625593</v>
      </c>
      <c r="C17" s="186">
        <v>908</v>
      </c>
      <c r="D17" s="13">
        <v>844</v>
      </c>
      <c r="E17" s="13">
        <v>1173</v>
      </c>
      <c r="F17" s="13">
        <v>660</v>
      </c>
      <c r="G17" s="13">
        <v>334</v>
      </c>
      <c r="H17" s="13">
        <v>2761</v>
      </c>
      <c r="I17" s="13">
        <v>3000</v>
      </c>
      <c r="J17" s="13">
        <v>506</v>
      </c>
      <c r="K17" s="13">
        <v>1283</v>
      </c>
      <c r="L17" s="13"/>
      <c r="M17" s="13"/>
      <c r="N17" s="45"/>
    </row>
    <row r="18" spans="1:14" ht="13.5" thickBot="1">
      <c r="A18" s="37" t="s">
        <v>5</v>
      </c>
      <c r="B18" s="35">
        <f>(C18-D18)/D18</f>
        <v>2.1776384535005224</v>
      </c>
      <c r="C18" s="187">
        <v>12164</v>
      </c>
      <c r="D18" s="15">
        <v>3828</v>
      </c>
      <c r="E18" s="15">
        <v>5688</v>
      </c>
      <c r="F18" s="15">
        <v>5803</v>
      </c>
      <c r="G18" s="15">
        <v>8411</v>
      </c>
      <c r="H18" s="15">
        <v>5419</v>
      </c>
      <c r="I18" s="15">
        <v>659</v>
      </c>
      <c r="J18" s="15">
        <v>2395</v>
      </c>
      <c r="K18" s="15">
        <v>1094</v>
      </c>
      <c r="L18" s="15">
        <v>3236</v>
      </c>
      <c r="M18" s="15">
        <v>1510</v>
      </c>
      <c r="N18" s="46">
        <v>2850</v>
      </c>
    </row>
    <row r="19" spans="1:14" ht="13.5" thickBot="1">
      <c r="A19" s="39" t="s">
        <v>22</v>
      </c>
      <c r="B19" s="40">
        <f>(C19-D19)/D19</f>
        <v>0.28707661400478285</v>
      </c>
      <c r="C19" s="96">
        <f>SUM(C15:C18)</f>
        <v>306238</v>
      </c>
      <c r="D19" s="41">
        <f>SUM(D15:D18)</f>
        <v>237933</v>
      </c>
      <c r="E19" s="41">
        <f>SUM(E15:E18)</f>
        <v>269229</v>
      </c>
      <c r="F19" s="41">
        <v>314046</v>
      </c>
      <c r="G19" s="41">
        <f aca="true" t="shared" si="2" ref="G19:N19">SUM(G15:G18)</f>
        <v>278262</v>
      </c>
      <c r="H19" s="41">
        <f t="shared" si="2"/>
        <v>249007</v>
      </c>
      <c r="I19" s="41">
        <f t="shared" si="2"/>
        <v>171159</v>
      </c>
      <c r="J19" s="41">
        <f t="shared" si="2"/>
        <v>208266</v>
      </c>
      <c r="K19" s="41">
        <f t="shared" si="2"/>
        <v>170902.3812635379</v>
      </c>
      <c r="L19" s="41">
        <f t="shared" si="2"/>
        <v>169806</v>
      </c>
      <c r="M19" s="41">
        <f t="shared" si="2"/>
        <v>82755</v>
      </c>
      <c r="N19" s="47">
        <f t="shared" si="2"/>
        <v>146350</v>
      </c>
    </row>
    <row r="20" ht="12.75">
      <c r="A20" s="16" t="s">
        <v>173</v>
      </c>
    </row>
    <row r="26" spans="14:15" ht="17.25">
      <c r="N26" s="5"/>
      <c r="O26" s="1"/>
    </row>
    <row r="27" spans="14:15" ht="17.25">
      <c r="N27" s="5"/>
      <c r="O27" s="1"/>
    </row>
    <row r="28" spans="14:15" ht="17.25">
      <c r="N28" s="5"/>
      <c r="O28" s="1"/>
    </row>
    <row r="29" spans="14:15" ht="17.25">
      <c r="N29" s="5"/>
      <c r="O29" s="1"/>
    </row>
    <row r="30" spans="14:15" ht="17.25">
      <c r="N30" s="5"/>
      <c r="O30" s="1"/>
    </row>
    <row r="31" spans="14:15" ht="17.25">
      <c r="N31" s="5"/>
      <c r="O31" s="1"/>
    </row>
    <row r="32" spans="14:15" ht="17.25">
      <c r="N32" s="5"/>
      <c r="O32" s="1"/>
    </row>
    <row r="33" spans="14:15" ht="17.25">
      <c r="N33" s="5"/>
      <c r="O33" s="1"/>
    </row>
    <row r="34" spans="14:15" ht="17.25">
      <c r="N34" s="5"/>
      <c r="O34" s="1"/>
    </row>
    <row r="35" spans="14:15" ht="17.25">
      <c r="N35" s="5"/>
      <c r="O35" s="1"/>
    </row>
    <row r="36" spans="14:15" ht="17.25">
      <c r="N36" s="6"/>
      <c r="O36" s="1"/>
    </row>
    <row r="37" spans="14:15" ht="18">
      <c r="N37" s="7"/>
      <c r="O37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9.28125" style="0" customWidth="1"/>
    <col min="2" max="3" width="10.7109375" style="0" customWidth="1"/>
    <col min="4" max="4" width="10.7109375" style="9" customWidth="1"/>
    <col min="5" max="5" width="9.8515625" style="0" customWidth="1"/>
    <col min="6" max="13" width="10.28125" style="16" customWidth="1"/>
    <col min="14" max="15" width="10.28125" style="0" customWidth="1"/>
  </cols>
  <sheetData>
    <row r="1" spans="1:14" s="16" customFormat="1" ht="13.5" thickBot="1">
      <c r="A1" s="30" t="s">
        <v>23</v>
      </c>
      <c r="B1" s="31" t="s">
        <v>188</v>
      </c>
      <c r="C1" s="151">
        <v>43405</v>
      </c>
      <c r="D1" s="99">
        <v>43040</v>
      </c>
      <c r="E1" s="32">
        <v>42675</v>
      </c>
      <c r="F1" s="32">
        <v>42309</v>
      </c>
      <c r="G1" s="32">
        <v>41944</v>
      </c>
      <c r="H1" s="32">
        <v>41579</v>
      </c>
      <c r="I1" s="32">
        <v>41214</v>
      </c>
      <c r="J1" s="32">
        <v>40848</v>
      </c>
      <c r="K1" s="32">
        <v>40483</v>
      </c>
      <c r="L1" s="32">
        <v>40118</v>
      </c>
      <c r="M1" s="32">
        <v>39753</v>
      </c>
      <c r="N1" s="33">
        <v>39387</v>
      </c>
    </row>
    <row r="2" spans="1:14" s="16" customFormat="1" ht="12.75">
      <c r="A2" s="52" t="s">
        <v>10</v>
      </c>
      <c r="B2" s="56">
        <f>(C2-D2)/D2</f>
        <v>2.622679045092838</v>
      </c>
      <c r="C2" s="108">
        <v>5463</v>
      </c>
      <c r="D2" s="75">
        <v>1508</v>
      </c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 ht="12.75">
      <c r="A3" s="26" t="s">
        <v>8</v>
      </c>
      <c r="B3" s="34">
        <f>(C3-D3)/D3</f>
        <v>-0.026914075560013375</v>
      </c>
      <c r="C3" s="186">
        <v>5821</v>
      </c>
      <c r="D3" s="75">
        <v>5982</v>
      </c>
      <c r="E3" s="13">
        <v>5834</v>
      </c>
      <c r="F3" s="13">
        <v>4212</v>
      </c>
      <c r="G3" s="13">
        <v>3342</v>
      </c>
      <c r="H3" s="13">
        <v>2981</v>
      </c>
      <c r="I3" s="13">
        <v>1407</v>
      </c>
      <c r="J3" s="13">
        <v>606</v>
      </c>
      <c r="K3" s="13">
        <v>527</v>
      </c>
      <c r="L3" s="13">
        <v>1043</v>
      </c>
      <c r="M3" s="13">
        <v>613</v>
      </c>
      <c r="N3" s="45">
        <v>257</v>
      </c>
    </row>
    <row r="4" spans="1:14" ht="12.75">
      <c r="A4" s="26" t="s">
        <v>13</v>
      </c>
      <c r="B4" s="34">
        <f aca="true" t="shared" si="0" ref="B4:B12">(C4-D4)/D4</f>
        <v>0.7990543735224587</v>
      </c>
      <c r="C4" s="186">
        <v>1522</v>
      </c>
      <c r="D4" s="75">
        <v>846</v>
      </c>
      <c r="E4" s="13">
        <v>792</v>
      </c>
      <c r="F4" s="13">
        <v>936</v>
      </c>
      <c r="G4" s="13">
        <v>1566</v>
      </c>
      <c r="H4" s="13">
        <v>1433</v>
      </c>
      <c r="I4" s="13">
        <v>2407</v>
      </c>
      <c r="J4" s="13">
        <v>1584</v>
      </c>
      <c r="K4" s="13">
        <v>1807</v>
      </c>
      <c r="L4" s="13">
        <v>1200</v>
      </c>
      <c r="M4" s="13">
        <v>2409</v>
      </c>
      <c r="N4" s="45">
        <v>1352</v>
      </c>
    </row>
    <row r="5" spans="1:14" ht="12.75">
      <c r="A5" s="26" t="s">
        <v>2</v>
      </c>
      <c r="B5" s="34">
        <f t="shared" si="0"/>
        <v>0.26675003290772675</v>
      </c>
      <c r="C5" s="186">
        <v>19247</v>
      </c>
      <c r="D5" s="75">
        <v>15194</v>
      </c>
      <c r="E5" s="13">
        <v>17319</v>
      </c>
      <c r="F5" s="13">
        <v>18717</v>
      </c>
      <c r="G5" s="13">
        <v>19189</v>
      </c>
      <c r="H5" s="13">
        <v>12730</v>
      </c>
      <c r="I5" s="13">
        <v>11071</v>
      </c>
      <c r="J5" s="13">
        <v>13133</v>
      </c>
      <c r="K5" s="13">
        <v>7542</v>
      </c>
      <c r="L5" s="13">
        <v>11441</v>
      </c>
      <c r="M5" s="13">
        <v>11288</v>
      </c>
      <c r="N5" s="45">
        <v>6789</v>
      </c>
    </row>
    <row r="6" spans="1:14" ht="12.75">
      <c r="A6" s="26" t="s">
        <v>9</v>
      </c>
      <c r="B6" s="34">
        <f t="shared" si="0"/>
        <v>0.6416715200931858</v>
      </c>
      <c r="C6" s="186">
        <v>11275</v>
      </c>
      <c r="D6" s="75">
        <v>6868</v>
      </c>
      <c r="E6" s="13">
        <v>6542</v>
      </c>
      <c r="F6" s="13">
        <v>6075</v>
      </c>
      <c r="G6" s="13">
        <v>8441</v>
      </c>
      <c r="H6" s="13">
        <v>10846</v>
      </c>
      <c r="I6" s="13">
        <v>14803</v>
      </c>
      <c r="J6" s="13">
        <v>7510</v>
      </c>
      <c r="K6" s="13">
        <v>10915</v>
      </c>
      <c r="L6" s="13">
        <v>13992</v>
      </c>
      <c r="M6" s="13">
        <v>14844</v>
      </c>
      <c r="N6" s="45">
        <v>13869</v>
      </c>
    </row>
    <row r="7" spans="1:14" ht="12.75">
      <c r="A7" s="26" t="s">
        <v>26</v>
      </c>
      <c r="B7" s="34">
        <f t="shared" si="0"/>
        <v>0.429064464439788</v>
      </c>
      <c r="C7" s="186">
        <v>11594</v>
      </c>
      <c r="D7" s="75">
        <v>8113</v>
      </c>
      <c r="E7" s="13">
        <v>4650</v>
      </c>
      <c r="F7" s="13">
        <v>8223</v>
      </c>
      <c r="G7" s="13">
        <v>5533</v>
      </c>
      <c r="H7" s="13">
        <v>7970</v>
      </c>
      <c r="I7" s="13">
        <v>5173</v>
      </c>
      <c r="J7" s="13">
        <v>3216</v>
      </c>
      <c r="K7" s="13">
        <v>3666</v>
      </c>
      <c r="L7" s="13">
        <v>5346</v>
      </c>
      <c r="M7" s="13">
        <v>5387</v>
      </c>
      <c r="N7" s="45">
        <v>3531</v>
      </c>
    </row>
    <row r="8" spans="1:14" ht="12.75">
      <c r="A8" s="26" t="s">
        <v>18</v>
      </c>
      <c r="B8" s="34">
        <f t="shared" si="0"/>
        <v>1.947602131438721</v>
      </c>
      <c r="C8" s="186">
        <v>3319</v>
      </c>
      <c r="D8" s="75">
        <v>1126</v>
      </c>
      <c r="E8" s="13">
        <v>1844</v>
      </c>
      <c r="F8" s="13">
        <v>1903</v>
      </c>
      <c r="G8" s="13">
        <v>267</v>
      </c>
      <c r="H8" s="13">
        <v>309</v>
      </c>
      <c r="I8" s="13">
        <v>467</v>
      </c>
      <c r="J8" s="13">
        <v>311</v>
      </c>
      <c r="K8" s="13">
        <v>313</v>
      </c>
      <c r="L8" s="13">
        <v>80</v>
      </c>
      <c r="M8" s="13">
        <v>433</v>
      </c>
      <c r="N8" s="45">
        <v>188</v>
      </c>
    </row>
    <row r="9" spans="1:14" ht="12.75">
      <c r="A9" s="52" t="s">
        <v>89</v>
      </c>
      <c r="B9" s="34">
        <f t="shared" si="0"/>
        <v>1.115260785576304</v>
      </c>
      <c r="C9" s="186">
        <v>3285</v>
      </c>
      <c r="D9" s="75">
        <v>1553</v>
      </c>
      <c r="E9" s="13">
        <v>2305</v>
      </c>
      <c r="F9" s="13">
        <v>2378</v>
      </c>
      <c r="G9" s="13">
        <v>2534</v>
      </c>
      <c r="H9" s="13">
        <v>3441</v>
      </c>
      <c r="I9" s="13">
        <v>2171</v>
      </c>
      <c r="J9" s="13">
        <v>1126</v>
      </c>
      <c r="K9" s="13">
        <v>1331</v>
      </c>
      <c r="L9" s="13">
        <v>2637</v>
      </c>
      <c r="M9" s="13">
        <v>2236</v>
      </c>
      <c r="N9" s="45">
        <v>2247</v>
      </c>
    </row>
    <row r="10" spans="1:14" ht="12.75">
      <c r="A10" s="26" t="s">
        <v>34</v>
      </c>
      <c r="B10" s="34">
        <f t="shared" si="0"/>
        <v>2.8275862068965516</v>
      </c>
      <c r="C10" s="186">
        <v>222</v>
      </c>
      <c r="D10" s="75">
        <v>58</v>
      </c>
      <c r="E10" s="13">
        <v>128</v>
      </c>
      <c r="F10" s="13">
        <v>98</v>
      </c>
      <c r="G10" s="13">
        <v>209</v>
      </c>
      <c r="H10" s="13">
        <v>190</v>
      </c>
      <c r="I10" s="13">
        <v>648</v>
      </c>
      <c r="J10" s="13">
        <v>378</v>
      </c>
      <c r="K10" s="13">
        <v>230</v>
      </c>
      <c r="L10" s="13">
        <v>617</v>
      </c>
      <c r="M10" s="13">
        <v>614</v>
      </c>
      <c r="N10" s="45">
        <v>906</v>
      </c>
    </row>
    <row r="11" spans="1:14" ht="13.5" thickBot="1">
      <c r="A11" s="29" t="s">
        <v>58</v>
      </c>
      <c r="B11" s="35">
        <f t="shared" si="0"/>
        <v>0.6941760250718203</v>
      </c>
      <c r="C11" s="187">
        <v>6487</v>
      </c>
      <c r="D11" s="76">
        <v>3829</v>
      </c>
      <c r="E11" s="13">
        <v>7783</v>
      </c>
      <c r="F11" s="15">
        <v>7040</v>
      </c>
      <c r="G11" s="15">
        <v>6859</v>
      </c>
      <c r="H11" s="15">
        <v>7204</v>
      </c>
      <c r="I11" s="15">
        <v>7412</v>
      </c>
      <c r="J11" s="15">
        <v>2806</v>
      </c>
      <c r="K11" s="15">
        <v>4929</v>
      </c>
      <c r="L11" s="15">
        <v>7899</v>
      </c>
      <c r="M11" s="15">
        <v>7930</v>
      </c>
      <c r="N11" s="46">
        <v>6120</v>
      </c>
    </row>
    <row r="12" spans="1:14" ht="13.5" thickBot="1">
      <c r="A12" s="44" t="s">
        <v>22</v>
      </c>
      <c r="B12" s="40">
        <f t="shared" si="0"/>
        <v>0.513743150608958</v>
      </c>
      <c r="C12" s="96">
        <v>68235</v>
      </c>
      <c r="D12" s="76">
        <f>SUM(D2:D11)</f>
        <v>45077</v>
      </c>
      <c r="E12" s="84">
        <f aca="true" t="shared" si="1" ref="E12:N12">SUM(E3:E11)</f>
        <v>47197</v>
      </c>
      <c r="F12" s="41">
        <f t="shared" si="1"/>
        <v>49582</v>
      </c>
      <c r="G12" s="41">
        <f t="shared" si="1"/>
        <v>47940</v>
      </c>
      <c r="H12" s="41">
        <f t="shared" si="1"/>
        <v>47104</v>
      </c>
      <c r="I12" s="41">
        <f t="shared" si="1"/>
        <v>45559</v>
      </c>
      <c r="J12" s="41">
        <f t="shared" si="1"/>
        <v>30670</v>
      </c>
      <c r="K12" s="41">
        <f t="shared" si="1"/>
        <v>31260</v>
      </c>
      <c r="L12" s="41">
        <f t="shared" si="1"/>
        <v>44255</v>
      </c>
      <c r="M12" s="41">
        <f t="shared" si="1"/>
        <v>45754</v>
      </c>
      <c r="N12" s="47">
        <f t="shared" si="1"/>
        <v>35259</v>
      </c>
    </row>
    <row r="13" spans="2:14" s="9" customFormat="1" ht="12.75">
      <c r="B13" s="43"/>
      <c r="C13" s="43"/>
      <c r="D13" s="43"/>
      <c r="E13" s="43"/>
      <c r="F13" s="12"/>
      <c r="G13" s="12"/>
      <c r="H13" s="12"/>
      <c r="I13" s="12"/>
      <c r="J13" s="12"/>
      <c r="K13" s="12"/>
      <c r="L13" s="12"/>
      <c r="M13" s="12"/>
      <c r="N13" s="159"/>
    </row>
    <row r="14" spans="5:14" ht="13.5" thickBot="1">
      <c r="E14" s="9"/>
      <c r="N14" s="157"/>
    </row>
    <row r="15" spans="1:14" ht="13.5" thickBot="1">
      <c r="A15" s="30" t="s">
        <v>24</v>
      </c>
      <c r="B15" s="31" t="s">
        <v>188</v>
      </c>
      <c r="C15" s="151">
        <v>43405</v>
      </c>
      <c r="D15" s="99">
        <v>43040</v>
      </c>
      <c r="E15" s="32">
        <v>42675</v>
      </c>
      <c r="F15" s="32">
        <v>42309</v>
      </c>
      <c r="G15" s="32">
        <f>G1</f>
        <v>41944</v>
      </c>
      <c r="H15" s="32">
        <v>41579</v>
      </c>
      <c r="I15" s="32">
        <v>41214</v>
      </c>
      <c r="J15" s="32">
        <v>40848</v>
      </c>
      <c r="K15" s="32">
        <v>40483</v>
      </c>
      <c r="L15" s="32">
        <v>40118</v>
      </c>
      <c r="M15" s="32">
        <v>39753</v>
      </c>
      <c r="N15" s="33">
        <v>39387</v>
      </c>
    </row>
    <row r="16" spans="1:14" ht="12.75">
      <c r="A16" s="62" t="s">
        <v>6</v>
      </c>
      <c r="B16" s="63">
        <f aca="true" t="shared" si="2" ref="B16:B21">(C16-D16)/D16</f>
        <v>-0.1930835734870317</v>
      </c>
      <c r="C16" s="105">
        <v>1400</v>
      </c>
      <c r="D16" s="80">
        <v>1735</v>
      </c>
      <c r="E16" s="80">
        <v>1540</v>
      </c>
      <c r="F16" s="80">
        <v>2967</v>
      </c>
      <c r="G16" s="80">
        <v>395</v>
      </c>
      <c r="H16" s="80">
        <v>1764</v>
      </c>
      <c r="I16" s="80">
        <v>470</v>
      </c>
      <c r="J16" s="80">
        <v>847</v>
      </c>
      <c r="K16" s="80">
        <v>59</v>
      </c>
      <c r="L16" s="80">
        <v>342</v>
      </c>
      <c r="M16" s="80">
        <v>0</v>
      </c>
      <c r="N16" s="82">
        <v>8</v>
      </c>
    </row>
    <row r="17" spans="1:14" ht="12.75">
      <c r="A17" s="62" t="s">
        <v>41</v>
      </c>
      <c r="B17" s="63">
        <f t="shared" si="2"/>
        <v>1.5</v>
      </c>
      <c r="C17" s="105">
        <v>20</v>
      </c>
      <c r="D17" s="80">
        <v>8</v>
      </c>
      <c r="E17" s="80">
        <v>62</v>
      </c>
      <c r="F17" s="80">
        <v>5</v>
      </c>
      <c r="G17" s="80">
        <v>14</v>
      </c>
      <c r="H17" s="80">
        <v>132</v>
      </c>
      <c r="I17" s="80">
        <v>0</v>
      </c>
      <c r="J17" s="80">
        <v>94</v>
      </c>
      <c r="K17" s="80">
        <v>149</v>
      </c>
      <c r="L17" s="80">
        <v>49</v>
      </c>
      <c r="M17" s="80">
        <v>0</v>
      </c>
      <c r="N17" s="82">
        <v>5</v>
      </c>
    </row>
    <row r="18" spans="1:15" ht="12.75">
      <c r="A18" s="62" t="s">
        <v>167</v>
      </c>
      <c r="B18" s="63">
        <f t="shared" si="2"/>
        <v>1.7196969696969697</v>
      </c>
      <c r="C18" s="105">
        <v>359</v>
      </c>
      <c r="D18" s="80">
        <v>132</v>
      </c>
      <c r="E18" s="80">
        <v>209</v>
      </c>
      <c r="F18" s="80">
        <v>205</v>
      </c>
      <c r="G18" s="80">
        <v>115</v>
      </c>
      <c r="H18" s="80">
        <v>205</v>
      </c>
      <c r="I18" s="80"/>
      <c r="J18" s="80"/>
      <c r="K18" s="80"/>
      <c r="L18" s="80"/>
      <c r="M18" s="80"/>
      <c r="N18" s="82"/>
      <c r="O18" s="1"/>
    </row>
    <row r="19" spans="1:15" ht="12.75">
      <c r="A19" s="62" t="s">
        <v>168</v>
      </c>
      <c r="B19" s="63">
        <f t="shared" si="2"/>
        <v>0.43151693667157587</v>
      </c>
      <c r="C19" s="105">
        <v>972</v>
      </c>
      <c r="D19" s="80">
        <v>679</v>
      </c>
      <c r="E19" s="80">
        <v>124</v>
      </c>
      <c r="F19" s="80">
        <v>1526</v>
      </c>
      <c r="G19" s="80">
        <v>157</v>
      </c>
      <c r="H19" s="80">
        <v>1038</v>
      </c>
      <c r="I19" s="80"/>
      <c r="J19" s="80"/>
      <c r="K19" s="80"/>
      <c r="L19" s="80"/>
      <c r="M19" s="80"/>
      <c r="N19" s="82"/>
      <c r="O19" s="1"/>
    </row>
    <row r="20" spans="1:15" ht="13.5" thickBot="1">
      <c r="A20" s="64" t="s">
        <v>5</v>
      </c>
      <c r="B20" s="63">
        <f t="shared" si="2"/>
        <v>3.4615384615384617</v>
      </c>
      <c r="C20" s="105">
        <v>174</v>
      </c>
      <c r="D20" s="80">
        <v>39</v>
      </c>
      <c r="E20" s="81">
        <v>38</v>
      </c>
      <c r="F20" s="81">
        <v>80</v>
      </c>
      <c r="G20" s="81">
        <v>154</v>
      </c>
      <c r="H20" s="81">
        <v>241</v>
      </c>
      <c r="I20" s="81">
        <v>811</v>
      </c>
      <c r="J20" s="81">
        <v>518</v>
      </c>
      <c r="K20" s="81">
        <v>1029</v>
      </c>
      <c r="L20" s="81">
        <v>548</v>
      </c>
      <c r="M20" s="81">
        <v>0</v>
      </c>
      <c r="N20" s="83">
        <v>308</v>
      </c>
      <c r="O20" s="1"/>
    </row>
    <row r="21" spans="1:15" ht="13.5" thickBot="1">
      <c r="A21" s="67" t="s">
        <v>92</v>
      </c>
      <c r="B21" s="68">
        <f t="shared" si="2"/>
        <v>0.1280370227535673</v>
      </c>
      <c r="C21" s="107">
        <v>2925</v>
      </c>
      <c r="D21" s="86">
        <f>SUM(D16:D20)</f>
        <v>2593</v>
      </c>
      <c r="E21" s="86">
        <f>SUM(E16:E20)</f>
        <v>1973</v>
      </c>
      <c r="F21" s="86">
        <f>SUM(F16:F20)</f>
        <v>4783</v>
      </c>
      <c r="G21" s="86">
        <f aca="true" t="shared" si="3" ref="G21:L21">SUM(G16:G20)</f>
        <v>835</v>
      </c>
      <c r="H21" s="86">
        <f t="shared" si="3"/>
        <v>3380</v>
      </c>
      <c r="I21" s="86">
        <f t="shared" si="3"/>
        <v>1281</v>
      </c>
      <c r="J21" s="86">
        <f t="shared" si="3"/>
        <v>1459</v>
      </c>
      <c r="K21" s="86">
        <f t="shared" si="3"/>
        <v>1237</v>
      </c>
      <c r="L21" s="86">
        <f t="shared" si="3"/>
        <v>939</v>
      </c>
      <c r="M21" s="86">
        <v>0</v>
      </c>
      <c r="N21" s="93">
        <f>SUM(N16:N20)</f>
        <v>321</v>
      </c>
      <c r="O2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4.7109375" style="0" customWidth="1"/>
    <col min="2" max="3" width="10.7109375" style="0" customWidth="1"/>
    <col min="4" max="4" width="10.7109375" style="9" customWidth="1"/>
    <col min="5" max="14" width="10.28125" style="0" customWidth="1"/>
  </cols>
  <sheetData>
    <row r="1" spans="1:14" ht="13.5" thickBot="1">
      <c r="A1" s="30" t="s">
        <v>23</v>
      </c>
      <c r="B1" s="31" t="s">
        <v>188</v>
      </c>
      <c r="C1" s="151">
        <v>43405</v>
      </c>
      <c r="D1" s="99">
        <v>43040</v>
      </c>
      <c r="E1" s="32">
        <v>42675</v>
      </c>
      <c r="F1" s="32">
        <v>42309</v>
      </c>
      <c r="G1" s="32">
        <v>41944</v>
      </c>
      <c r="H1" s="32">
        <v>41579</v>
      </c>
      <c r="I1" s="32">
        <v>41214</v>
      </c>
      <c r="J1" s="32">
        <v>40848</v>
      </c>
      <c r="K1" s="32">
        <v>40483</v>
      </c>
      <c r="L1" s="32">
        <v>40118</v>
      </c>
      <c r="M1" s="32">
        <v>39753</v>
      </c>
      <c r="N1" s="33">
        <v>39387</v>
      </c>
    </row>
    <row r="2" spans="1:14" ht="12.75">
      <c r="A2" s="52" t="s">
        <v>3</v>
      </c>
      <c r="B2" s="56"/>
      <c r="C2" s="108">
        <v>155</v>
      </c>
      <c r="D2" s="176"/>
      <c r="E2" s="75">
        <v>163</v>
      </c>
      <c r="F2" s="75">
        <v>203</v>
      </c>
      <c r="G2" s="75">
        <v>176</v>
      </c>
      <c r="H2" s="75">
        <v>144</v>
      </c>
      <c r="I2" s="75">
        <v>170</v>
      </c>
      <c r="J2" s="75">
        <v>270</v>
      </c>
      <c r="K2" s="75">
        <v>210</v>
      </c>
      <c r="L2" s="75">
        <v>209</v>
      </c>
      <c r="M2" s="75">
        <v>517</v>
      </c>
      <c r="N2" s="69">
        <v>324</v>
      </c>
    </row>
    <row r="3" spans="1:14" ht="12.75">
      <c r="A3" s="52" t="s">
        <v>98</v>
      </c>
      <c r="B3" s="56"/>
      <c r="C3" s="108">
        <v>476</v>
      </c>
      <c r="D3" s="176"/>
      <c r="E3" s="75">
        <v>616</v>
      </c>
      <c r="F3" s="75">
        <v>597</v>
      </c>
      <c r="G3" s="75">
        <v>715</v>
      </c>
      <c r="H3" s="75">
        <v>654</v>
      </c>
      <c r="I3" s="75">
        <v>477</v>
      </c>
      <c r="J3" s="75">
        <v>636</v>
      </c>
      <c r="K3" s="75">
        <v>430</v>
      </c>
      <c r="L3" s="75">
        <v>394</v>
      </c>
      <c r="M3" s="75">
        <v>223</v>
      </c>
      <c r="N3" s="69"/>
    </row>
    <row r="4" spans="1:14" ht="12.75">
      <c r="A4" s="52" t="s">
        <v>4</v>
      </c>
      <c r="B4" s="56"/>
      <c r="C4" s="108">
        <v>789</v>
      </c>
      <c r="D4" s="176"/>
      <c r="E4" s="75">
        <v>781</v>
      </c>
      <c r="F4" s="75">
        <v>879</v>
      </c>
      <c r="G4" s="75">
        <v>768</v>
      </c>
      <c r="H4" s="75">
        <v>726</v>
      </c>
      <c r="I4" s="75">
        <v>534</v>
      </c>
      <c r="J4" s="75">
        <v>695</v>
      </c>
      <c r="K4" s="75">
        <v>713</v>
      </c>
      <c r="L4" s="75">
        <v>643</v>
      </c>
      <c r="M4" s="75">
        <v>880</v>
      </c>
      <c r="N4" s="69">
        <v>1695</v>
      </c>
    </row>
    <row r="5" spans="1:14" ht="12.75">
      <c r="A5" s="52" t="s">
        <v>1</v>
      </c>
      <c r="B5" s="56"/>
      <c r="C5" s="108">
        <v>5649</v>
      </c>
      <c r="D5" s="176"/>
      <c r="E5" s="75">
        <v>4040</v>
      </c>
      <c r="F5" s="75">
        <v>4083</v>
      </c>
      <c r="G5" s="75">
        <v>4667</v>
      </c>
      <c r="H5" s="75">
        <v>3922</v>
      </c>
      <c r="I5" s="75">
        <v>3105</v>
      </c>
      <c r="J5" s="75">
        <v>4443</v>
      </c>
      <c r="K5" s="75">
        <v>3275</v>
      </c>
      <c r="L5" s="75">
        <v>4447</v>
      </c>
      <c r="M5" s="75">
        <v>4589</v>
      </c>
      <c r="N5" s="69">
        <v>3065</v>
      </c>
    </row>
    <row r="6" spans="1:14" ht="12.75">
      <c r="A6" s="52" t="s">
        <v>11</v>
      </c>
      <c r="B6" s="56"/>
      <c r="C6" s="108">
        <v>20</v>
      </c>
      <c r="D6" s="176"/>
      <c r="E6" s="75">
        <v>17</v>
      </c>
      <c r="F6" s="75">
        <v>15</v>
      </c>
      <c r="G6" s="75"/>
      <c r="H6" s="75">
        <v>27</v>
      </c>
      <c r="I6" s="75">
        <v>12</v>
      </c>
      <c r="J6" s="75">
        <v>9</v>
      </c>
      <c r="K6" s="75">
        <v>8</v>
      </c>
      <c r="L6" s="75">
        <v>0</v>
      </c>
      <c r="M6" s="75">
        <v>5</v>
      </c>
      <c r="N6" s="69"/>
    </row>
    <row r="7" spans="1:14" ht="12.75">
      <c r="A7" s="52" t="s">
        <v>8</v>
      </c>
      <c r="B7" s="56"/>
      <c r="C7" s="108">
        <v>607</v>
      </c>
      <c r="D7" s="176"/>
      <c r="E7" s="75">
        <v>843</v>
      </c>
      <c r="F7" s="75">
        <v>550</v>
      </c>
      <c r="G7" s="75">
        <v>529</v>
      </c>
      <c r="H7" s="75">
        <v>504</v>
      </c>
      <c r="I7" s="75">
        <v>445</v>
      </c>
      <c r="J7" s="75">
        <v>304</v>
      </c>
      <c r="K7" s="75">
        <v>315</v>
      </c>
      <c r="L7" s="75">
        <v>605</v>
      </c>
      <c r="M7" s="75">
        <v>130</v>
      </c>
      <c r="N7" s="69"/>
    </row>
    <row r="8" spans="1:14" ht="12.75">
      <c r="A8" s="52" t="s">
        <v>13</v>
      </c>
      <c r="B8" s="56"/>
      <c r="C8" s="108"/>
      <c r="D8" s="176"/>
      <c r="E8" s="75">
        <v>5</v>
      </c>
      <c r="F8" s="75">
        <v>4</v>
      </c>
      <c r="G8" s="75"/>
      <c r="H8" s="75">
        <v>10</v>
      </c>
      <c r="I8" s="75">
        <v>68</v>
      </c>
      <c r="J8" s="75">
        <v>91</v>
      </c>
      <c r="K8" s="75">
        <v>62</v>
      </c>
      <c r="L8" s="75">
        <v>116</v>
      </c>
      <c r="M8" s="75">
        <v>431</v>
      </c>
      <c r="N8" s="69">
        <v>369</v>
      </c>
    </row>
    <row r="9" spans="1:14" ht="12.75">
      <c r="A9" s="52" t="s">
        <v>14</v>
      </c>
      <c r="B9" s="56"/>
      <c r="C9" s="108">
        <v>437</v>
      </c>
      <c r="D9" s="176"/>
      <c r="E9" s="75">
        <v>720</v>
      </c>
      <c r="F9" s="75">
        <v>608</v>
      </c>
      <c r="G9" s="75">
        <v>496</v>
      </c>
      <c r="H9" s="75">
        <v>624</v>
      </c>
      <c r="I9" s="75">
        <v>394</v>
      </c>
      <c r="J9" s="75">
        <v>568</v>
      </c>
      <c r="K9" s="75">
        <v>535</v>
      </c>
      <c r="L9" s="75">
        <v>691</v>
      </c>
      <c r="M9" s="75">
        <v>1038</v>
      </c>
      <c r="N9" s="69"/>
    </row>
    <row r="10" spans="1:15" ht="12.75">
      <c r="A10" s="52" t="s">
        <v>9</v>
      </c>
      <c r="B10" s="56"/>
      <c r="C10" s="108">
        <v>14</v>
      </c>
      <c r="D10" s="176"/>
      <c r="E10" s="75"/>
      <c r="F10" s="75"/>
      <c r="G10" s="75"/>
      <c r="H10" s="75">
        <v>9</v>
      </c>
      <c r="I10" s="75">
        <v>6</v>
      </c>
      <c r="J10" s="75">
        <v>13</v>
      </c>
      <c r="K10" s="75">
        <v>16</v>
      </c>
      <c r="L10" s="75">
        <v>34</v>
      </c>
      <c r="M10" s="75">
        <v>34</v>
      </c>
      <c r="N10" s="69"/>
      <c r="O10" s="1"/>
    </row>
    <row r="11" spans="1:14" ht="12.75">
      <c r="A11" s="52" t="s">
        <v>100</v>
      </c>
      <c r="B11" s="56"/>
      <c r="C11" s="108">
        <v>3170</v>
      </c>
      <c r="D11" s="176"/>
      <c r="E11" s="75">
        <v>3358</v>
      </c>
      <c r="F11" s="75">
        <v>3064</v>
      </c>
      <c r="G11" s="75">
        <v>2307</v>
      </c>
      <c r="H11" s="75">
        <v>2812</v>
      </c>
      <c r="I11" s="75">
        <v>1736</v>
      </c>
      <c r="J11" s="75">
        <v>2215</v>
      </c>
      <c r="K11" s="75">
        <v>1844</v>
      </c>
      <c r="L11" s="75">
        <v>1974</v>
      </c>
      <c r="M11" s="75">
        <v>2898</v>
      </c>
      <c r="N11" s="69"/>
    </row>
    <row r="12" spans="1:15" ht="12.75">
      <c r="A12" s="52" t="s">
        <v>26</v>
      </c>
      <c r="B12" s="56"/>
      <c r="C12" s="108"/>
      <c r="D12" s="176"/>
      <c r="E12" s="75">
        <v>35</v>
      </c>
      <c r="F12" s="75">
        <v>22</v>
      </c>
      <c r="G12" s="75">
        <v>45</v>
      </c>
      <c r="H12" s="75">
        <v>43</v>
      </c>
      <c r="I12" s="75"/>
      <c r="J12" s="75"/>
      <c r="K12" s="75"/>
      <c r="L12" s="75">
        <v>178</v>
      </c>
      <c r="M12" s="75">
        <v>26</v>
      </c>
      <c r="N12" s="69"/>
      <c r="O12" s="1"/>
    </row>
    <row r="13" spans="1:14" ht="12.75">
      <c r="A13" s="52" t="s">
        <v>25</v>
      </c>
      <c r="B13" s="56"/>
      <c r="C13" s="108">
        <v>2898</v>
      </c>
      <c r="D13" s="176"/>
      <c r="E13" s="75">
        <v>3540</v>
      </c>
      <c r="F13" s="75">
        <v>2597</v>
      </c>
      <c r="G13" s="75">
        <v>2907</v>
      </c>
      <c r="H13" s="75">
        <v>2298</v>
      </c>
      <c r="I13" s="75">
        <v>1747</v>
      </c>
      <c r="J13" s="75">
        <v>3046</v>
      </c>
      <c r="K13" s="75">
        <v>2660</v>
      </c>
      <c r="L13" s="75">
        <v>3220</v>
      </c>
      <c r="M13" s="75">
        <v>4255</v>
      </c>
      <c r="N13" s="69">
        <v>4063</v>
      </c>
    </row>
    <row r="14" spans="1:14" ht="12.75">
      <c r="A14" s="52" t="s">
        <v>99</v>
      </c>
      <c r="B14" s="56"/>
      <c r="C14" s="108">
        <v>250</v>
      </c>
      <c r="D14" s="176"/>
      <c r="E14" s="75">
        <v>248</v>
      </c>
      <c r="F14" s="75">
        <v>324</v>
      </c>
      <c r="G14" s="75">
        <v>397</v>
      </c>
      <c r="H14" s="75">
        <v>351</v>
      </c>
      <c r="I14" s="75">
        <v>342</v>
      </c>
      <c r="J14" s="75">
        <v>386</v>
      </c>
      <c r="K14" s="75">
        <v>300</v>
      </c>
      <c r="L14" s="75">
        <v>355</v>
      </c>
      <c r="M14" s="75">
        <v>485</v>
      </c>
      <c r="N14" s="69"/>
    </row>
    <row r="15" spans="1:14" ht="12.75">
      <c r="A15" s="52" t="s">
        <v>12</v>
      </c>
      <c r="B15" s="56"/>
      <c r="C15" s="108"/>
      <c r="D15" s="176"/>
      <c r="E15" s="75"/>
      <c r="F15" s="75"/>
      <c r="G15" s="75"/>
      <c r="H15" s="75">
        <v>33</v>
      </c>
      <c r="I15" s="75">
        <v>27</v>
      </c>
      <c r="J15" s="75"/>
      <c r="K15" s="75"/>
      <c r="L15" s="75">
        <v>42</v>
      </c>
      <c r="M15" s="75">
        <v>46</v>
      </c>
      <c r="N15" s="69"/>
    </row>
    <row r="16" spans="1:14" ht="12.75">
      <c r="A16" s="52" t="s">
        <v>34</v>
      </c>
      <c r="B16" s="56"/>
      <c r="C16" s="108">
        <v>20</v>
      </c>
      <c r="D16" s="176"/>
      <c r="E16" s="75">
        <v>26</v>
      </c>
      <c r="F16" s="75">
        <v>29</v>
      </c>
      <c r="G16" s="75">
        <v>28</v>
      </c>
      <c r="H16" s="75"/>
      <c r="I16" s="75">
        <v>22</v>
      </c>
      <c r="J16" s="75">
        <v>20</v>
      </c>
      <c r="K16" s="75"/>
      <c r="L16" s="75"/>
      <c r="M16" s="75"/>
      <c r="N16" s="69"/>
    </row>
    <row r="17" spans="1:14" ht="12.75">
      <c r="A17" s="52" t="s">
        <v>87</v>
      </c>
      <c r="B17" s="56"/>
      <c r="C17" s="108">
        <v>1996</v>
      </c>
      <c r="D17" s="176"/>
      <c r="E17" s="75">
        <v>1361</v>
      </c>
      <c r="F17" s="75">
        <v>1234</v>
      </c>
      <c r="G17" s="75">
        <v>1167</v>
      </c>
      <c r="H17" s="75">
        <v>1252</v>
      </c>
      <c r="I17" s="75">
        <v>848</v>
      </c>
      <c r="J17" s="75">
        <v>654</v>
      </c>
      <c r="K17" s="75">
        <v>485</v>
      </c>
      <c r="L17" s="75">
        <v>830</v>
      </c>
      <c r="M17" s="75">
        <v>290</v>
      </c>
      <c r="N17" s="69"/>
    </row>
    <row r="18" spans="1:14" ht="13.5" thickBot="1">
      <c r="A18" s="53" t="s">
        <v>5</v>
      </c>
      <c r="B18" s="57"/>
      <c r="C18" s="109">
        <f>393+578</f>
        <v>971</v>
      </c>
      <c r="D18" s="177"/>
      <c r="E18" s="75">
        <v>550</v>
      </c>
      <c r="F18" s="76">
        <v>919</v>
      </c>
      <c r="G18" s="76">
        <v>325</v>
      </c>
      <c r="H18" s="76">
        <v>800</v>
      </c>
      <c r="I18" s="76">
        <v>289</v>
      </c>
      <c r="J18" s="76">
        <v>367</v>
      </c>
      <c r="K18" s="76">
        <v>503</v>
      </c>
      <c r="L18" s="76">
        <v>624</v>
      </c>
      <c r="M18" s="76">
        <v>2980</v>
      </c>
      <c r="N18" s="70">
        <f>4322+11</f>
        <v>4333</v>
      </c>
    </row>
    <row r="19" spans="1:14" ht="13.5" thickBot="1">
      <c r="A19" s="39" t="s">
        <v>92</v>
      </c>
      <c r="B19" s="40"/>
      <c r="C19" s="96">
        <f>SUM(C2:C18)</f>
        <v>17452</v>
      </c>
      <c r="D19" s="175"/>
      <c r="E19" s="84">
        <f>SUM(E2:E18)</f>
        <v>16303</v>
      </c>
      <c r="F19" s="84">
        <f>SUM(F2:F18)</f>
        <v>15128</v>
      </c>
      <c r="G19" s="84">
        <f>SUM(G2:G18)</f>
        <v>14527</v>
      </c>
      <c r="H19" s="84">
        <f>SUM(H2:H18)</f>
        <v>14209</v>
      </c>
      <c r="I19" s="84">
        <f aca="true" t="shared" si="0" ref="I19:N19">SUM(I2:I18)</f>
        <v>10222</v>
      </c>
      <c r="J19" s="84">
        <f t="shared" si="0"/>
        <v>13717</v>
      </c>
      <c r="K19" s="84">
        <f t="shared" si="0"/>
        <v>11356</v>
      </c>
      <c r="L19" s="84">
        <f t="shared" si="0"/>
        <v>14362</v>
      </c>
      <c r="M19" s="84">
        <f t="shared" si="0"/>
        <v>18827</v>
      </c>
      <c r="N19" s="156">
        <f t="shared" si="0"/>
        <v>13849</v>
      </c>
    </row>
    <row r="20" spans="5:14" ht="12.75">
      <c r="E20" s="9"/>
      <c r="N20" s="157"/>
    </row>
    <row r="21" spans="2:14" ht="13.5" thickBot="1">
      <c r="B21" s="3"/>
      <c r="C21" s="3"/>
      <c r="D21" s="85"/>
      <c r="E21" s="85"/>
      <c r="F21" s="3"/>
      <c r="G21" s="3"/>
      <c r="H21" s="3"/>
      <c r="I21" s="3"/>
      <c r="J21" s="3"/>
      <c r="K21" s="3"/>
      <c r="L21" s="3"/>
      <c r="M21" s="3"/>
      <c r="N21" s="158"/>
    </row>
    <row r="22" spans="1:14" s="61" customFormat="1" ht="13.5" thickBot="1">
      <c r="A22" s="59" t="s">
        <v>122</v>
      </c>
      <c r="B22" s="31" t="s">
        <v>188</v>
      </c>
      <c r="C22" s="151">
        <v>43405</v>
      </c>
      <c r="D22" s="99">
        <v>43040</v>
      </c>
      <c r="E22" s="32">
        <v>42675</v>
      </c>
      <c r="F22" s="32">
        <v>42309</v>
      </c>
      <c r="G22" s="32">
        <f>G1</f>
        <v>41944</v>
      </c>
      <c r="H22" s="32">
        <v>41579</v>
      </c>
      <c r="I22" s="32">
        <v>41214</v>
      </c>
      <c r="J22" s="32">
        <v>40848</v>
      </c>
      <c r="K22" s="32">
        <v>40483</v>
      </c>
      <c r="L22" s="32">
        <v>40118</v>
      </c>
      <c r="M22" s="32">
        <v>39753</v>
      </c>
      <c r="N22" s="33">
        <v>39387</v>
      </c>
    </row>
    <row r="23" spans="1:14" s="58" customFormat="1" ht="12.75">
      <c r="A23" s="62" t="s">
        <v>6</v>
      </c>
      <c r="B23" s="63"/>
      <c r="C23" s="105">
        <v>222</v>
      </c>
      <c r="D23" s="178"/>
      <c r="E23" s="80">
        <v>155</v>
      </c>
      <c r="F23" s="80">
        <v>746</v>
      </c>
      <c r="G23" s="80">
        <v>130</v>
      </c>
      <c r="H23" s="80">
        <v>918</v>
      </c>
      <c r="I23" s="80"/>
      <c r="J23" s="80">
        <v>347</v>
      </c>
      <c r="K23" s="80">
        <v>94</v>
      </c>
      <c r="L23" s="80">
        <v>392</v>
      </c>
      <c r="M23" s="80">
        <v>409</v>
      </c>
      <c r="N23" s="71">
        <f>B38</f>
        <v>0</v>
      </c>
    </row>
    <row r="24" spans="1:14" s="58" customFormat="1" ht="12.75">
      <c r="A24" s="62" t="s">
        <v>93</v>
      </c>
      <c r="B24" s="63"/>
      <c r="C24" s="105"/>
      <c r="D24" s="178"/>
      <c r="E24" s="80">
        <v>5</v>
      </c>
      <c r="F24" s="80"/>
      <c r="G24" s="80"/>
      <c r="H24" s="80">
        <v>5</v>
      </c>
      <c r="I24" s="80"/>
      <c r="J24" s="80">
        <v>2</v>
      </c>
      <c r="K24" s="80">
        <v>14</v>
      </c>
      <c r="L24" s="80"/>
      <c r="M24" s="80"/>
      <c r="N24" s="71"/>
    </row>
    <row r="25" spans="1:14" s="58" customFormat="1" ht="13.5" thickBot="1">
      <c r="A25" s="64" t="s">
        <v>5</v>
      </c>
      <c r="B25" s="65"/>
      <c r="C25" s="106">
        <v>867</v>
      </c>
      <c r="D25" s="179"/>
      <c r="E25" s="81">
        <v>296</v>
      </c>
      <c r="F25" s="81">
        <v>1585</v>
      </c>
      <c r="G25" s="81">
        <v>85</v>
      </c>
      <c r="H25" s="81">
        <v>1333</v>
      </c>
      <c r="I25" s="81"/>
      <c r="J25" s="81">
        <v>510</v>
      </c>
      <c r="K25" s="81">
        <v>526</v>
      </c>
      <c r="L25" s="81">
        <f>28+135+483</f>
        <v>646</v>
      </c>
      <c r="M25" s="81">
        <v>1798</v>
      </c>
      <c r="N25" s="72">
        <v>458</v>
      </c>
    </row>
    <row r="26" spans="1:14" s="58" customFormat="1" ht="13.5" thickBot="1">
      <c r="A26" s="67" t="s">
        <v>92</v>
      </c>
      <c r="B26" s="68"/>
      <c r="C26" s="107">
        <f>SUM(C23:C25)</f>
        <v>1089</v>
      </c>
      <c r="D26" s="180"/>
      <c r="E26" s="86">
        <f>SUM(E23:E25)</f>
        <v>456</v>
      </c>
      <c r="F26" s="86">
        <f>SUM(F23:F25)</f>
        <v>2331</v>
      </c>
      <c r="G26" s="86">
        <f>SUM(G23:G25)</f>
        <v>215</v>
      </c>
      <c r="H26" s="86">
        <f>SUM(H23:H25)</f>
        <v>2256</v>
      </c>
      <c r="I26" s="86"/>
      <c r="J26" s="86">
        <f>SUM(J23:J25)</f>
        <v>859</v>
      </c>
      <c r="K26" s="86">
        <f>SUM(K23:K25)</f>
        <v>634</v>
      </c>
      <c r="L26" s="86">
        <f>SUM(L23:L25)</f>
        <v>1038</v>
      </c>
      <c r="M26" s="86">
        <f>SUM(M23:M25)</f>
        <v>2207</v>
      </c>
      <c r="N26" s="93">
        <f>SUM(N23:N25)</f>
        <v>458</v>
      </c>
    </row>
    <row r="27" s="58" customFormat="1" ht="12.75">
      <c r="D27" s="166"/>
    </row>
    <row r="28" spans="1:4" s="58" customFormat="1" ht="12.75">
      <c r="A28" s="61"/>
      <c r="D28" s="166"/>
    </row>
    <row r="29" s="58" customFormat="1" ht="12.75">
      <c r="D29" s="166"/>
    </row>
  </sheetData>
  <sheetProtection/>
  <printOptions/>
  <pageMargins left="0.75" right="0.75" top="1" bottom="1" header="0.5" footer="0.5"/>
  <pageSetup fitToHeight="3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Freshfell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</dc:creator>
  <cp:keywords/>
  <dc:description/>
  <cp:lastModifiedBy>Recepcion</cp:lastModifiedBy>
  <cp:lastPrinted>2017-11-22T15:22:31Z</cp:lastPrinted>
  <dcterms:created xsi:type="dcterms:W3CDTF">2006-12-13T13:34:27Z</dcterms:created>
  <dcterms:modified xsi:type="dcterms:W3CDTF">2018-12-06T20:24:01Z</dcterms:modified>
  <cp:category/>
  <cp:version/>
  <cp:contentType/>
  <cp:contentStatus/>
</cp:coreProperties>
</file>