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tabRatio="596" activeTab="1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country'!$A$1:$V$31</definedName>
    <definedName name="_xlnm.Print_Area" localSheetId="3">'EU - variety'!$A$1:$P$44</definedName>
    <definedName name="_xlnm.Print_Area" localSheetId="8">'France'!$A$1:$O$26</definedName>
    <definedName name="_xlnm.Print_Area" localSheetId="1">'US'!$A$1:$U$40</definedName>
  </definedNames>
  <calcPr fullCalcOnLoad="1"/>
</workbook>
</file>

<file path=xl/sharedStrings.xml><?xml version="1.0" encoding="utf-8"?>
<sst xmlns="http://schemas.openxmlformats.org/spreadsheetml/2006/main" count="519" uniqueCount="175">
  <si>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</si>
  <si>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</si>
  <si>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</si>
  <si>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</si>
  <si>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</si>
  <si>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</si>
  <si>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</si>
  <si>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</si>
  <si>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</si>
  <si>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</si>
  <si>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</si>
  <si>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</si>
  <si>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</si>
  <si>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</si>
  <si>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</si>
  <si>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</si>
  <si>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</si>
  <si>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</si>
  <si>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</si>
  <si>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</si>
  <si>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</si>
  <si>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</si>
  <si>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</si>
  <si>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</si>
  <si>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</si>
  <si>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</si>
  <si>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</si>
  <si>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</si>
  <si>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</si>
  <si>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</si>
  <si>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</si>
  <si>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</si>
  <si>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</si>
  <si>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</si>
  <si>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</si>
  <si>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</si>
  <si>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</si>
  <si>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</si>
  <si>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</si>
  <si>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</si>
  <si>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</si>
  <si>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</si>
  <si>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</si>
  <si>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</si>
  <si>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</si>
  <si>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</si>
  <si>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</si>
  <si>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</si>
  <si>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</si>
  <si>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</si>
  <si>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</si>
  <si>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</si>
  <si>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</si>
  <si>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</si>
  <si>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</si>
  <si>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</si>
  <si>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</si>
  <si>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</si>
  <si>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</si>
  <si>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</si>
  <si>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</si>
  <si>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</si>
  <si>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</si>
  <si>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</si>
  <si>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</si>
  <si>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</si>
  <si>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</si>
  <si>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</si>
  <si>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</si>
  <si>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</si>
  <si>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</si>
  <si>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</si>
  <si>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</si>
  <si>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</si>
  <si>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</si>
  <si>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</si>
  <si>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</si>
  <si>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</si>
  <si>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</si>
  <si>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</si>
  <si>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</si>
  <si>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</si>
  <si>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</si>
  <si>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</si>
  <si>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</si>
  <si>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</si>
  <si>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</si>
  <si>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</si>
  <si>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</si>
  <si>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</si>
  <si>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</si>
  <si>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</si>
  <si>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</si>
  <si>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</si>
  <si>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</si>
  <si>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</si>
  <si>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</si>
  <si>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</si>
  <si>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</si>
  <si>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</si>
  <si>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</si>
  <si>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</si>
  <si>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</si>
  <si>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</si>
  <si>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</si>
  <si>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</si>
  <si>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</si>
  <si>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</si>
  <si>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</si>
  <si>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</si>
  <si>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</si>
  <si>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</si>
  <si>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</si>
  <si>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</si>
  <si>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</si>
  <si>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</si>
  <si>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</si>
  <si>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</si>
  <si>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</si>
  <si>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</si>
  <si>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</si>
  <si>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</si>
  <si>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</si>
  <si>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</si>
  <si>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</si>
  <si>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</si>
  <si>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</si>
  <si>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</si>
  <si>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</si>
  <si>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</si>
  <si>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</si>
  <si>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</si>
  <si>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</si>
  <si>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</si>
  <si>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</si>
  <si>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</si>
  <si>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</si>
  <si>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</si>
  <si>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</si>
  <si>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</si>
  <si>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</si>
  <si>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</si>
  <si>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</si>
  <si>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</si>
  <si>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</si>
  <si>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</si>
  <si>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JUNE</t>
  </si>
  <si>
    <t>Portugal:</t>
  </si>
  <si>
    <t>ANP - Associação Nacional de Produtores de Pera Rocha</t>
  </si>
  <si>
    <t>Golden Delicius</t>
  </si>
  <si>
    <t>Rocha</t>
  </si>
  <si>
    <t>Portugal</t>
  </si>
  <si>
    <t xml:space="preserve">* Other new varieties: Ariane, Belgica, Cameo, Diwa, Greenstar, Goldrush, Honey Crunch, Jazz, Junami, Kanzi, Mairac, Rubens, Tentation (temptation), Wellant, ... </t>
  </si>
  <si>
    <t>Choupette</t>
  </si>
  <si>
    <t xml:space="preserve"> </t>
  </si>
  <si>
    <t>Evelina</t>
  </si>
  <si>
    <t>Concorde</t>
  </si>
  <si>
    <t>Ligol</t>
  </si>
  <si>
    <t>AFRUCAT</t>
  </si>
  <si>
    <t>Honeycrisp</t>
  </si>
  <si>
    <t>Doyenne du Comice</t>
  </si>
  <si>
    <t>** From 12/2014 Cox's is included in others</t>
  </si>
  <si>
    <t>Cox**</t>
  </si>
  <si>
    <t>Durondeau</t>
  </si>
  <si>
    <t>Lucasova</t>
  </si>
  <si>
    <t>Bohemia</t>
  </si>
  <si>
    <t>Portugal (Rocha Pears) are calculated per two months, the latest was from May</t>
  </si>
  <si>
    <t>Italy has indicated that the pear stocks are finished</t>
  </si>
  <si>
    <t>Forelle</t>
  </si>
  <si>
    <t>Please note that this is just an indication. Difference might be +- 10%</t>
  </si>
  <si>
    <t>Variety: Gloster, Idared was sent mostly to industry</t>
  </si>
  <si>
    <t>Moved 2020</t>
  </si>
  <si>
    <t>Moved 2021</t>
  </si>
  <si>
    <t>%2021/2020</t>
  </si>
  <si>
    <t>Overview Northern Hemisphere apple and pear stocks 2020-21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</si>
</sst>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_-* #,##0\ _€_-;\-* #,##0\ _€_-;_-* &quot;-&quot;??\ _€_-;_-@_-"/>
    <numFmt numFmtId="206" formatCode="[$-809]dd\ mmmm\ yyyy"/>
    <numFmt numFmtId="207" formatCode="_-* #,##0_-;\-* #,##0_-;_-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A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34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9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9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9" fontId="1" fillId="30" borderId="10" xfId="57" applyNumberFormat="1" applyFont="1" applyFill="1" applyBorder="1">
      <alignment/>
      <protection/>
    </xf>
    <xf numFmtId="199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4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3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4" fontId="1" fillId="36" borderId="14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0" borderId="10" xfId="0" applyNumberFormat="1" applyFill="1" applyBorder="1" applyAlignment="1" quotePrefix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0" xfId="58" applyNumberForma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10" fontId="0" fillId="34" borderId="0" xfId="0" applyNumberFormat="1" applyFont="1" applyFill="1" applyBorder="1" applyAlignment="1">
      <alignment horizontal="right"/>
    </xf>
    <xf numFmtId="14" fontId="1" fillId="0" borderId="14" xfId="0" applyNumberFormat="1" applyFont="1" applyFill="1" applyBorder="1" applyAlignment="1">
      <alignment/>
    </xf>
    <xf numFmtId="3" fontId="0" fillId="36" borderId="19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33" borderId="13" xfId="0" applyNumberFormat="1" applyFont="1" applyFill="1" applyBorder="1" applyAlignment="1">
      <alignment/>
    </xf>
    <xf numFmtId="199" fontId="1" fillId="34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0" fillId="36" borderId="0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57" applyNumberFormat="1" applyFill="1">
      <alignment/>
      <protection/>
    </xf>
    <xf numFmtId="3" fontId="1" fillId="37" borderId="14" xfId="0" applyNumberFormat="1" applyFont="1" applyFill="1" applyBorder="1" applyAlignment="1">
      <alignment horizontal="right"/>
    </xf>
    <xf numFmtId="3" fontId="0" fillId="36" borderId="0" xfId="57" applyNumberFormat="1" applyFill="1">
      <alignment/>
      <protection/>
    </xf>
    <xf numFmtId="3" fontId="0" fillId="38" borderId="0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" fillId="38" borderId="1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/WINDOWS/Temporary Internet Files/Content.IE5/5WGFLPOD/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4</xdr:col>
      <xdr:colOff>228600</xdr:colOff>
      <xdr:row>16</xdr:row>
      <xdr:rowOff>76200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8650" y="161925"/>
          <a:ext cx="2657475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1239</v>
          </cell>
          <cell r="F2">
            <v>2611</v>
          </cell>
        </row>
        <row r="3">
          <cell r="E3">
            <v>1334</v>
          </cell>
          <cell r="F3">
            <v>629</v>
          </cell>
        </row>
        <row r="4">
          <cell r="E4">
            <v>6060</v>
          </cell>
          <cell r="F4">
            <v>0</v>
          </cell>
        </row>
        <row r="5">
          <cell r="E5">
            <v>3926</v>
          </cell>
          <cell r="F5">
            <v>4211</v>
          </cell>
        </row>
        <row r="6">
          <cell r="E6">
            <v>105838</v>
          </cell>
          <cell r="F6">
            <v>116929</v>
          </cell>
        </row>
        <row r="7">
          <cell r="E7">
            <v>131850</v>
          </cell>
          <cell r="F7">
            <v>182121</v>
          </cell>
        </row>
        <row r="8">
          <cell r="E8">
            <v>32853</v>
          </cell>
          <cell r="F8">
            <v>70889</v>
          </cell>
        </row>
        <row r="9">
          <cell r="E9">
            <v>81046</v>
          </cell>
          <cell r="F9">
            <v>127639</v>
          </cell>
        </row>
        <row r="10">
          <cell r="E10">
            <v>77711</v>
          </cell>
          <cell r="F10">
            <v>60789</v>
          </cell>
        </row>
        <row r="11">
          <cell r="E11">
            <v>743</v>
          </cell>
          <cell r="F11">
            <v>1334</v>
          </cell>
        </row>
        <row r="13">
          <cell r="E13">
            <v>515</v>
          </cell>
          <cell r="F13">
            <v>419</v>
          </cell>
        </row>
        <row r="14">
          <cell r="E14">
            <v>5774</v>
          </cell>
          <cell r="F14">
            <v>6746</v>
          </cell>
        </row>
        <row r="15">
          <cell r="E15">
            <v>229</v>
          </cell>
          <cell r="F15">
            <v>495</v>
          </cell>
        </row>
        <row r="16">
          <cell r="E16">
            <v>362</v>
          </cell>
          <cell r="F16">
            <v>229</v>
          </cell>
        </row>
        <row r="18">
          <cell r="E18">
            <v>54691</v>
          </cell>
          <cell r="F18">
            <v>45240</v>
          </cell>
        </row>
        <row r="19">
          <cell r="E19">
            <v>176632</v>
          </cell>
          <cell r="F19">
            <v>212706</v>
          </cell>
        </row>
        <row r="20">
          <cell r="E20">
            <v>305</v>
          </cell>
          <cell r="F20">
            <v>2706</v>
          </cell>
        </row>
        <row r="21">
          <cell r="E21">
            <v>191</v>
          </cell>
          <cell r="F21">
            <v>210</v>
          </cell>
        </row>
        <row r="22">
          <cell r="E22">
            <v>1048</v>
          </cell>
          <cell r="F22">
            <v>286</v>
          </cell>
        </row>
        <row r="23">
          <cell r="E23">
            <v>57</v>
          </cell>
          <cell r="F23">
            <v>57</v>
          </cell>
        </row>
        <row r="25">
          <cell r="E25">
            <v>381</v>
          </cell>
          <cell r="F25">
            <v>114</v>
          </cell>
        </row>
        <row r="26">
          <cell r="E26">
            <v>40837</v>
          </cell>
          <cell r="F26">
            <v>54844</v>
          </cell>
        </row>
        <row r="30">
          <cell r="E30">
            <v>44317</v>
          </cell>
          <cell r="F30">
            <v>43952</v>
          </cell>
        </row>
        <row r="31">
          <cell r="E31">
            <v>29199</v>
          </cell>
          <cell r="F31">
            <v>36281.76</v>
          </cell>
        </row>
        <row r="32">
          <cell r="E32">
            <v>2125.98</v>
          </cell>
          <cell r="F32">
            <v>529.08</v>
          </cell>
        </row>
        <row r="33">
          <cell r="E33">
            <v>2851.34</v>
          </cell>
          <cell r="F33">
            <v>4006.22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2">
        <row r="2">
          <cell r="E2">
            <v>46417.479699999996</v>
          </cell>
          <cell r="F2">
            <v>29214.68254</v>
          </cell>
        </row>
        <row r="3">
          <cell r="E3">
            <v>32593.604166974346</v>
          </cell>
          <cell r="F3">
            <v>61460</v>
          </cell>
        </row>
        <row r="4">
          <cell r="E4">
            <v>13620</v>
          </cell>
          <cell r="F4">
            <v>7904</v>
          </cell>
        </row>
        <row r="5">
          <cell r="E5">
            <v>325</v>
          </cell>
          <cell r="F5">
            <v>0</v>
          </cell>
        </row>
        <row r="6">
          <cell r="E6">
            <v>158710</v>
          </cell>
          <cell r="F6">
            <v>230597</v>
          </cell>
        </row>
        <row r="7">
          <cell r="E7">
            <v>96853</v>
          </cell>
          <cell r="F7">
            <v>70907</v>
          </cell>
        </row>
        <row r="8">
          <cell r="E8">
            <v>415547.25</v>
          </cell>
          <cell r="F8">
            <v>352379.16</v>
          </cell>
        </row>
        <row r="9">
          <cell r="E9">
            <v>398000</v>
          </cell>
          <cell r="F9">
            <v>163000</v>
          </cell>
        </row>
        <row r="10">
          <cell r="E10">
            <v>0</v>
          </cell>
          <cell r="F10">
            <v>0</v>
          </cell>
        </row>
        <row r="11">
          <cell r="E11">
            <v>65853.12318624798</v>
          </cell>
          <cell r="F11">
            <v>104314.00348659609</v>
          </cell>
        </row>
        <row r="12">
          <cell r="E12">
            <v>23175</v>
          </cell>
          <cell r="F12">
            <v>19424</v>
          </cell>
        </row>
        <row r="13">
          <cell r="E13">
            <v>42570</v>
          </cell>
          <cell r="F13">
            <v>66450</v>
          </cell>
        </row>
        <row r="14">
          <cell r="E14">
            <v>19641</v>
          </cell>
          <cell r="F14">
            <v>19589</v>
          </cell>
        </row>
        <row r="15">
          <cell r="E15">
            <v>1313305.4570532222</v>
          </cell>
          <cell r="F15">
            <v>1125238.8460265961</v>
          </cell>
        </row>
        <row r="19">
          <cell r="E19">
            <v>39583</v>
          </cell>
          <cell r="F19">
            <v>14292</v>
          </cell>
        </row>
        <row r="20">
          <cell r="E20">
            <v>160</v>
          </cell>
          <cell r="F20">
            <v>200</v>
          </cell>
        </row>
        <row r="21">
          <cell r="E21">
            <v>0</v>
          </cell>
          <cell r="F21">
            <v>0</v>
          </cell>
        </row>
        <row r="22">
          <cell r="E22">
            <v>712</v>
          </cell>
          <cell r="F22">
            <v>545</v>
          </cell>
        </row>
        <row r="23">
          <cell r="E23">
            <v>505</v>
          </cell>
          <cell r="F23">
            <v>225</v>
          </cell>
        </row>
        <row r="24">
          <cell r="E24">
            <v>18051.600364217113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12058</v>
          </cell>
        </row>
        <row r="27">
          <cell r="E27">
            <v>16667.260266945566</v>
          </cell>
          <cell r="F27">
            <v>16022.660994309535</v>
          </cell>
        </row>
        <row r="28">
          <cell r="E28">
            <v>838</v>
          </cell>
          <cell r="F28">
            <v>856</v>
          </cell>
        </row>
        <row r="29">
          <cell r="E29">
            <v>70529</v>
          </cell>
          <cell r="F29">
            <v>59636</v>
          </cell>
        </row>
        <row r="30">
          <cell r="E30">
            <v>533</v>
          </cell>
          <cell r="F30">
            <v>0</v>
          </cell>
        </row>
        <row r="31">
          <cell r="E31">
            <v>147578.86063116268</v>
          </cell>
          <cell r="F31">
            <v>103834.66099430954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1300.5780874512986</v>
          </cell>
          <cell r="F3">
            <v>41</v>
          </cell>
        </row>
        <row r="4">
          <cell r="E4">
            <v>32767.68</v>
          </cell>
          <cell r="F4">
            <v>34948.12</v>
          </cell>
        </row>
        <row r="5">
          <cell r="E5">
            <v>9051</v>
          </cell>
          <cell r="F5">
            <v>7087</v>
          </cell>
        </row>
        <row r="6">
          <cell r="E6">
            <v>803</v>
          </cell>
          <cell r="F6">
            <v>116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33416.82</v>
          </cell>
          <cell r="F9">
            <v>24786.5</v>
          </cell>
        </row>
        <row r="10">
          <cell r="E10">
            <v>15839.728</v>
          </cell>
          <cell r="F10">
            <v>32141</v>
          </cell>
        </row>
        <row r="11">
          <cell r="E11">
            <v>37501.62144159023</v>
          </cell>
          <cell r="F11">
            <v>37771.05469887739</v>
          </cell>
        </row>
        <row r="12">
          <cell r="E12">
            <v>57551.367505945</v>
          </cell>
          <cell r="F12">
            <v>47264.22672258988</v>
          </cell>
        </row>
        <row r="13">
          <cell r="E13">
            <v>35046</v>
          </cell>
          <cell r="F13">
            <v>22000</v>
          </cell>
        </row>
        <row r="14">
          <cell r="E14">
            <v>397909.30463450396</v>
          </cell>
          <cell r="F14">
            <v>472828.3078690231</v>
          </cell>
        </row>
        <row r="15">
          <cell r="E15">
            <v>66252.72488858514</v>
          </cell>
          <cell r="F15">
            <v>49232.481417003015</v>
          </cell>
        </row>
        <row r="16">
          <cell r="E16">
            <v>0</v>
          </cell>
          <cell r="F16">
            <v>0</v>
          </cell>
        </row>
        <row r="17">
          <cell r="E17">
            <v>121339.6</v>
          </cell>
          <cell r="F17">
            <v>56390.520000000004</v>
          </cell>
        </row>
        <row r="18">
          <cell r="E18">
            <v>85785.771417927</v>
          </cell>
          <cell r="F18">
            <v>81429.76000000001</v>
          </cell>
        </row>
        <row r="19">
          <cell r="E19">
            <v>22712.288046215188</v>
          </cell>
          <cell r="F19">
            <v>35950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5959.08</v>
          </cell>
          <cell r="F22">
            <v>3246.55</v>
          </cell>
        </row>
        <row r="23">
          <cell r="E23">
            <v>25089.699999999997</v>
          </cell>
          <cell r="F23">
            <v>15280.539999999999</v>
          </cell>
        </row>
        <row r="24">
          <cell r="E24">
            <v>55127.24303100448</v>
          </cell>
          <cell r="F24">
            <v>43044.06531910267</v>
          </cell>
        </row>
        <row r="25">
          <cell r="E25">
            <v>70204.6</v>
          </cell>
          <cell r="F25">
            <v>46860.740000000005</v>
          </cell>
        </row>
        <row r="26">
          <cell r="E26">
            <v>9229</v>
          </cell>
          <cell r="F26">
            <v>3550.3</v>
          </cell>
        </row>
        <row r="27">
          <cell r="E27">
            <v>35702</v>
          </cell>
          <cell r="F27">
            <v>15004</v>
          </cell>
        </row>
        <row r="28">
          <cell r="E28">
            <v>0</v>
          </cell>
          <cell r="F28">
            <v>0</v>
          </cell>
        </row>
        <row r="29">
          <cell r="E29">
            <v>102</v>
          </cell>
          <cell r="F29">
            <v>0</v>
          </cell>
        </row>
        <row r="30">
          <cell r="E30">
            <v>39598.45</v>
          </cell>
          <cell r="F30">
            <v>34670.58</v>
          </cell>
        </row>
        <row r="31">
          <cell r="E31">
            <v>155015.9</v>
          </cell>
          <cell r="F31">
            <v>61596.1</v>
          </cell>
        </row>
        <row r="32">
          <cell r="E32">
            <v>1313305.457053222</v>
          </cell>
          <cell r="F32">
            <v>1125238.8460265964</v>
          </cell>
        </row>
        <row r="36">
          <cell r="E36">
            <v>7297.745067685837</v>
          </cell>
          <cell r="F36">
            <v>0</v>
          </cell>
        </row>
        <row r="37">
          <cell r="E37">
            <v>569.4315999673703</v>
          </cell>
          <cell r="F37">
            <v>381.58372637194446</v>
          </cell>
        </row>
        <row r="38">
          <cell r="E38">
            <v>1378.2395653683398</v>
          </cell>
          <cell r="F38">
            <v>135.62027529308193</v>
          </cell>
        </row>
        <row r="39">
          <cell r="E39">
            <v>130663.30634911993</v>
          </cell>
          <cell r="F39">
            <v>88356.88530142684</v>
          </cell>
        </row>
        <row r="40">
          <cell r="E40">
            <v>136</v>
          </cell>
          <cell r="F40">
            <v>22</v>
          </cell>
        </row>
        <row r="41">
          <cell r="E41">
            <v>3369.9089196314944</v>
          </cell>
          <cell r="F41">
            <v>0</v>
          </cell>
        </row>
        <row r="42">
          <cell r="E42">
            <v>0</v>
          </cell>
          <cell r="F42">
            <v>12058</v>
          </cell>
        </row>
        <row r="43">
          <cell r="E43">
            <v>4164.229129389707</v>
          </cell>
          <cell r="F43">
            <v>2880.571691217672</v>
          </cell>
        </row>
        <row r="44">
          <cell r="E44">
            <v>147578.86063116268</v>
          </cell>
          <cell r="F44">
            <v>103834.66099430954</v>
          </cell>
        </row>
      </sheetData>
      <sheetData sheetId="4">
        <row r="2">
          <cell r="E2">
            <v>152.70000000000002</v>
          </cell>
          <cell r="F2">
            <v>88.36</v>
          </cell>
        </row>
        <row r="3">
          <cell r="E3">
            <v>0</v>
          </cell>
          <cell r="F3">
            <v>0</v>
          </cell>
        </row>
        <row r="4">
          <cell r="E4">
            <v>1373.65</v>
          </cell>
          <cell r="F4">
            <v>1942.82</v>
          </cell>
        </row>
        <row r="5">
          <cell r="E5">
            <v>0.7280000000000001</v>
          </cell>
          <cell r="F5">
            <v>2</v>
          </cell>
        </row>
        <row r="6">
          <cell r="E6">
            <v>4900.45</v>
          </cell>
          <cell r="F6">
            <v>1419.58</v>
          </cell>
        </row>
        <row r="7">
          <cell r="E7">
            <v>522.6</v>
          </cell>
          <cell r="F7">
            <v>720.12</v>
          </cell>
        </row>
        <row r="8">
          <cell r="E8">
            <v>8576.550000000001</v>
          </cell>
          <cell r="F8">
            <v>3900.68</v>
          </cell>
        </row>
        <row r="10">
          <cell r="E10">
            <v>21459.75</v>
          </cell>
          <cell r="F10">
            <v>11802.58</v>
          </cell>
        </row>
        <row r="11">
          <cell r="E11">
            <v>18.6017</v>
          </cell>
          <cell r="F11">
            <v>0.28254</v>
          </cell>
        </row>
        <row r="12">
          <cell r="E12">
            <v>4152.6</v>
          </cell>
          <cell r="F12">
            <v>3882.52</v>
          </cell>
        </row>
        <row r="13">
          <cell r="E13">
            <v>1606.0500000000002</v>
          </cell>
          <cell r="F13">
            <v>2527.66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387</v>
          </cell>
          <cell r="F16">
            <v>415.84</v>
          </cell>
        </row>
        <row r="17">
          <cell r="E17">
            <v>1572.6</v>
          </cell>
          <cell r="F17">
            <v>1579.74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36.46</v>
          </cell>
        </row>
        <row r="20">
          <cell r="E20">
            <v>1694.2</v>
          </cell>
          <cell r="F20">
            <v>896.04</v>
          </cell>
        </row>
        <row r="21">
          <cell r="E21">
            <v>46417.479699999996</v>
          </cell>
          <cell r="F21">
            <v>29214.68254</v>
          </cell>
        </row>
      </sheetData>
      <sheetData sheetId="5">
        <row r="2">
          <cell r="E2">
            <v>1300.5780874512986</v>
          </cell>
          <cell r="F2">
            <v>0</v>
          </cell>
        </row>
        <row r="3">
          <cell r="E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</row>
        <row r="6">
          <cell r="E6">
            <v>1207.826615380864</v>
          </cell>
          <cell r="F6">
            <v>10280</v>
          </cell>
        </row>
        <row r="7">
          <cell r="E7">
            <v>19429.911417926996</v>
          </cell>
          <cell r="F7">
            <v>26818</v>
          </cell>
        </row>
        <row r="8">
          <cell r="E8">
            <v>5484.288046215187</v>
          </cell>
          <cell r="F8">
            <v>22130</v>
          </cell>
        </row>
        <row r="9">
          <cell r="E9">
            <v>5171</v>
          </cell>
          <cell r="F9">
            <v>2232</v>
          </cell>
        </row>
        <row r="10">
          <cell r="E10">
            <v>32593.604166974346</v>
          </cell>
          <cell r="F10">
            <v>61460</v>
          </cell>
        </row>
        <row r="15">
          <cell r="E15">
            <v>39508</v>
          </cell>
          <cell r="F15">
            <v>14139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75</v>
          </cell>
          <cell r="F18">
            <v>153</v>
          </cell>
        </row>
        <row r="19">
          <cell r="E19">
            <v>39583</v>
          </cell>
          <cell r="F19">
            <v>14292</v>
          </cell>
        </row>
      </sheetData>
      <sheetData sheetId="6">
        <row r="2">
          <cell r="E2">
            <v>2015</v>
          </cell>
          <cell r="F2">
            <v>986</v>
          </cell>
        </row>
        <row r="3">
          <cell r="E3">
            <v>995</v>
          </cell>
          <cell r="F3">
            <v>359</v>
          </cell>
        </row>
        <row r="4">
          <cell r="E4">
            <v>46</v>
          </cell>
          <cell r="F4">
            <v>0</v>
          </cell>
        </row>
        <row r="5">
          <cell r="E5">
            <v>5081</v>
          </cell>
          <cell r="F5">
            <v>4532</v>
          </cell>
        </row>
        <row r="6">
          <cell r="E6">
            <v>2122</v>
          </cell>
          <cell r="F6">
            <v>596</v>
          </cell>
        </row>
        <row r="7">
          <cell r="E7">
            <v>1598</v>
          </cell>
          <cell r="F7">
            <v>281</v>
          </cell>
        </row>
        <row r="8">
          <cell r="E8">
            <v>323</v>
          </cell>
          <cell r="F8">
            <v>460</v>
          </cell>
        </row>
        <row r="9">
          <cell r="E9">
            <v>534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906</v>
          </cell>
          <cell r="F11">
            <v>690</v>
          </cell>
        </row>
        <row r="12">
          <cell r="E12">
            <v>13620</v>
          </cell>
          <cell r="F12">
            <v>7904</v>
          </cell>
        </row>
        <row r="16">
          <cell r="E16">
            <v>155</v>
          </cell>
          <cell r="F16">
            <v>200</v>
          </cell>
        </row>
        <row r="17">
          <cell r="E17">
            <v>0</v>
          </cell>
          <cell r="F17">
            <v>0</v>
          </cell>
        </row>
        <row r="18">
          <cell r="E18">
            <v>5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160</v>
          </cell>
          <cell r="F21">
            <v>200</v>
          </cell>
        </row>
      </sheetData>
      <sheetData sheetId="7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E13">
            <v>223</v>
          </cell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E17">
            <v>102</v>
          </cell>
          <cell r="F17">
            <v>0</v>
          </cell>
        </row>
        <row r="18">
          <cell r="F18">
            <v>0</v>
          </cell>
        </row>
        <row r="19">
          <cell r="E19">
            <v>325</v>
          </cell>
          <cell r="F19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E26">
            <v>0</v>
          </cell>
          <cell r="F26">
            <v>0</v>
          </cell>
        </row>
      </sheetData>
      <sheetData sheetId="8">
        <row r="2">
          <cell r="E2">
            <v>1602</v>
          </cell>
          <cell r="F2">
            <v>1822</v>
          </cell>
        </row>
        <row r="3">
          <cell r="E3">
            <v>2692</v>
          </cell>
          <cell r="F3">
            <v>8217</v>
          </cell>
        </row>
        <row r="4">
          <cell r="E4">
            <v>0</v>
          </cell>
          <cell r="F4">
            <v>13</v>
          </cell>
        </row>
        <row r="5">
          <cell r="E5">
            <v>4408</v>
          </cell>
          <cell r="F5">
            <v>6040</v>
          </cell>
        </row>
        <row r="7">
          <cell r="E7">
            <v>1233</v>
          </cell>
          <cell r="F7">
            <v>2553</v>
          </cell>
        </row>
        <row r="8">
          <cell r="E8">
            <v>16259</v>
          </cell>
          <cell r="F8">
            <v>17188</v>
          </cell>
        </row>
        <row r="9">
          <cell r="E9">
            <v>57</v>
          </cell>
          <cell r="F9">
            <v>244</v>
          </cell>
        </row>
        <row r="10">
          <cell r="E10">
            <v>2324</v>
          </cell>
          <cell r="F10">
            <v>8470</v>
          </cell>
        </row>
        <row r="11">
          <cell r="E11">
            <v>21887</v>
          </cell>
          <cell r="F11">
            <v>19975</v>
          </cell>
        </row>
        <row r="12">
          <cell r="E12">
            <v>56642</v>
          </cell>
          <cell r="F12">
            <v>105181</v>
          </cell>
        </row>
        <row r="13">
          <cell r="E13">
            <v>1002</v>
          </cell>
          <cell r="F13">
            <v>1565</v>
          </cell>
        </row>
        <row r="14">
          <cell r="E14">
            <v>23658</v>
          </cell>
          <cell r="F14">
            <v>21975</v>
          </cell>
        </row>
        <row r="15">
          <cell r="E15">
            <v>89</v>
          </cell>
          <cell r="F15">
            <v>2128</v>
          </cell>
        </row>
        <row r="16">
          <cell r="E16">
            <v>601</v>
          </cell>
          <cell r="F16">
            <v>711</v>
          </cell>
        </row>
        <row r="17">
          <cell r="E17">
            <v>2665</v>
          </cell>
          <cell r="F17">
            <v>6434</v>
          </cell>
        </row>
        <row r="18">
          <cell r="E18">
            <v>6846</v>
          </cell>
          <cell r="F18">
            <v>8043</v>
          </cell>
        </row>
        <row r="19">
          <cell r="E19">
            <v>3687</v>
          </cell>
          <cell r="F19">
            <v>7637</v>
          </cell>
        </row>
        <row r="21">
          <cell r="E21">
            <v>954</v>
          </cell>
          <cell r="F21">
            <v>2049</v>
          </cell>
        </row>
        <row r="22">
          <cell r="E22">
            <v>125</v>
          </cell>
          <cell r="F22">
            <v>540</v>
          </cell>
        </row>
        <row r="23">
          <cell r="E23">
            <v>6215</v>
          </cell>
          <cell r="F23">
            <v>6335</v>
          </cell>
        </row>
        <row r="24">
          <cell r="E24">
            <v>90</v>
          </cell>
          <cell r="F24">
            <v>658</v>
          </cell>
        </row>
        <row r="25">
          <cell r="E25">
            <v>5674</v>
          </cell>
          <cell r="F25">
            <v>2819</v>
          </cell>
        </row>
        <row r="26">
          <cell r="E26">
            <v>158710</v>
          </cell>
          <cell r="F26">
            <v>230597</v>
          </cell>
        </row>
        <row r="30">
          <cell r="E30">
            <v>368</v>
          </cell>
          <cell r="F30">
            <v>149</v>
          </cell>
        </row>
        <row r="32">
          <cell r="E32">
            <v>149</v>
          </cell>
          <cell r="F32">
            <v>331</v>
          </cell>
        </row>
        <row r="33">
          <cell r="E33">
            <v>6</v>
          </cell>
          <cell r="F33">
            <v>22</v>
          </cell>
        </row>
        <row r="37">
          <cell r="E37">
            <v>189</v>
          </cell>
          <cell r="F37">
            <v>43</v>
          </cell>
        </row>
        <row r="38">
          <cell r="E38">
            <v>712</v>
          </cell>
          <cell r="F38">
            <v>545</v>
          </cell>
        </row>
      </sheetData>
      <sheetData sheetId="9">
        <row r="2">
          <cell r="E2">
            <v>0</v>
          </cell>
          <cell r="F2">
            <v>28</v>
          </cell>
        </row>
        <row r="3">
          <cell r="E3">
            <v>1375</v>
          </cell>
          <cell r="F3">
            <v>1459</v>
          </cell>
        </row>
        <row r="4">
          <cell r="E4">
            <v>0</v>
          </cell>
          <cell r="F4">
            <v>0</v>
          </cell>
        </row>
        <row r="5">
          <cell r="E5">
            <v>11192</v>
          </cell>
          <cell r="F5">
            <v>12389</v>
          </cell>
        </row>
        <row r="6">
          <cell r="E6">
            <v>725</v>
          </cell>
          <cell r="F6">
            <v>725</v>
          </cell>
        </row>
        <row r="7">
          <cell r="E7">
            <v>5114</v>
          </cell>
          <cell r="F7">
            <v>3246</v>
          </cell>
        </row>
        <row r="8">
          <cell r="E8">
            <v>0</v>
          </cell>
        </row>
        <row r="9">
          <cell r="E9">
            <v>1365</v>
          </cell>
          <cell r="F9">
            <v>1207</v>
          </cell>
        </row>
        <row r="10">
          <cell r="E10">
            <v>0</v>
          </cell>
        </row>
        <row r="11">
          <cell r="E11">
            <v>4209</v>
          </cell>
          <cell r="F11">
            <v>1163</v>
          </cell>
        </row>
        <row r="12">
          <cell r="E12">
            <v>0</v>
          </cell>
        </row>
        <row r="13">
          <cell r="E13">
            <v>5735</v>
          </cell>
          <cell r="F13">
            <v>6314</v>
          </cell>
        </row>
        <row r="14">
          <cell r="E14">
            <v>17005</v>
          </cell>
          <cell r="F14">
            <v>13820</v>
          </cell>
        </row>
        <row r="15">
          <cell r="E15">
            <v>2169</v>
          </cell>
          <cell r="F15">
            <v>1723</v>
          </cell>
        </row>
        <row r="16">
          <cell r="E16">
            <v>33632</v>
          </cell>
          <cell r="F16">
            <v>25281</v>
          </cell>
        </row>
        <row r="17">
          <cell r="E17">
            <v>168</v>
          </cell>
          <cell r="F17">
            <v>4</v>
          </cell>
        </row>
        <row r="18">
          <cell r="E18">
            <v>278</v>
          </cell>
          <cell r="F18">
            <v>151</v>
          </cell>
        </row>
        <row r="19">
          <cell r="E19">
            <v>13307</v>
          </cell>
          <cell r="F19">
            <v>2563</v>
          </cell>
        </row>
        <row r="20">
          <cell r="E20">
            <v>579</v>
          </cell>
          <cell r="F20">
            <v>834</v>
          </cell>
        </row>
        <row r="21">
          <cell r="E21">
            <v>96853</v>
          </cell>
          <cell r="F21">
            <v>70907</v>
          </cell>
        </row>
        <row r="25">
          <cell r="E25">
            <v>505</v>
          </cell>
          <cell r="F25">
            <v>225</v>
          </cell>
        </row>
        <row r="26">
          <cell r="E26">
            <v>505</v>
          </cell>
          <cell r="F26">
            <v>225</v>
          </cell>
        </row>
      </sheetData>
      <sheetData sheetId="10">
        <row r="3">
          <cell r="E3">
            <v>18844.03</v>
          </cell>
          <cell r="F3">
            <v>20048.300000000003</v>
          </cell>
        </row>
        <row r="4">
          <cell r="E4">
            <v>17157.82</v>
          </cell>
          <cell r="F4">
            <v>7598.5</v>
          </cell>
        </row>
        <row r="6">
          <cell r="E6">
            <v>28002.93</v>
          </cell>
          <cell r="F6">
            <v>20075.96</v>
          </cell>
        </row>
        <row r="7">
          <cell r="E7">
            <v>1244.8000000000002</v>
          </cell>
          <cell r="F7">
            <v>1559.8700000000001</v>
          </cell>
        </row>
        <row r="9">
          <cell r="E9">
            <v>215248.83</v>
          </cell>
          <cell r="F9">
            <v>226647.88999999998</v>
          </cell>
        </row>
        <row r="10">
          <cell r="E10">
            <v>34087.770000000004</v>
          </cell>
          <cell r="F10">
            <v>17590.8</v>
          </cell>
        </row>
        <row r="12">
          <cell r="E12">
            <v>1813.81</v>
          </cell>
          <cell r="F12">
            <v>3547.1</v>
          </cell>
        </row>
        <row r="14">
          <cell r="E14">
            <v>5959.08</v>
          </cell>
          <cell r="F14">
            <v>3246.55</v>
          </cell>
        </row>
        <row r="15">
          <cell r="E15">
            <v>22414.699999999997</v>
          </cell>
          <cell r="F15">
            <v>13136.699999999999</v>
          </cell>
        </row>
        <row r="16">
          <cell r="E16">
            <v>42299.479999999996</v>
          </cell>
          <cell r="F16">
            <v>26034.19</v>
          </cell>
        </row>
        <row r="17">
          <cell r="E17">
            <v>8273</v>
          </cell>
          <cell r="F17">
            <v>1501.3</v>
          </cell>
        </row>
        <row r="19">
          <cell r="E19">
            <v>20201</v>
          </cell>
          <cell r="F19">
            <v>11392</v>
          </cell>
        </row>
        <row r="20">
          <cell r="E20">
            <v>415547.25</v>
          </cell>
          <cell r="F20">
            <v>352379.16</v>
          </cell>
        </row>
        <row r="24">
          <cell r="E24">
            <v>7297.745067685837</v>
          </cell>
          <cell r="F24">
            <v>0</v>
          </cell>
        </row>
        <row r="25">
          <cell r="E25">
            <v>6107.47187606216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3369.9089196314944</v>
          </cell>
          <cell r="F27">
            <v>0</v>
          </cell>
        </row>
        <row r="28">
          <cell r="E28">
            <v>1276.474500837618</v>
          </cell>
          <cell r="F28">
            <v>0</v>
          </cell>
        </row>
        <row r="29">
          <cell r="E29">
            <v>18051.600364217113</v>
          </cell>
          <cell r="F29">
            <v>0</v>
          </cell>
        </row>
      </sheetData>
      <sheetData sheetId="11">
        <row r="5">
          <cell r="E5">
            <v>5000</v>
          </cell>
          <cell r="F5">
            <v>3000</v>
          </cell>
        </row>
        <row r="6">
          <cell r="E6">
            <v>35000</v>
          </cell>
          <cell r="F6">
            <v>22000</v>
          </cell>
        </row>
        <row r="7">
          <cell r="E7">
            <v>50000</v>
          </cell>
          <cell r="F7">
            <v>35000</v>
          </cell>
        </row>
        <row r="8">
          <cell r="E8">
            <v>110000</v>
          </cell>
          <cell r="F8">
            <v>50000</v>
          </cell>
        </row>
        <row r="9">
          <cell r="E9">
            <v>25000</v>
          </cell>
          <cell r="F9">
            <v>5000</v>
          </cell>
        </row>
        <row r="10">
          <cell r="E10">
            <v>30000</v>
          </cell>
          <cell r="F10">
            <v>3000</v>
          </cell>
        </row>
        <row r="12">
          <cell r="F12">
            <v>0</v>
          </cell>
        </row>
        <row r="13">
          <cell r="E13">
            <v>3000</v>
          </cell>
        </row>
        <row r="14">
          <cell r="E14">
            <v>35000</v>
          </cell>
          <cell r="F14">
            <v>20000</v>
          </cell>
        </row>
        <row r="15">
          <cell r="E15">
            <v>35000</v>
          </cell>
          <cell r="F15">
            <v>15000</v>
          </cell>
        </row>
        <row r="17">
          <cell r="E17">
            <v>70000</v>
          </cell>
          <cell r="F17">
            <v>10000</v>
          </cell>
        </row>
        <row r="18">
          <cell r="E18">
            <v>398000</v>
          </cell>
          <cell r="F18">
            <v>163000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</sheetData>
      <sheetData sheetId="13">
        <row r="2">
          <cell r="E2">
            <v>5927.091441590229</v>
          </cell>
          <cell r="F2">
            <v>7779.974698877391</v>
          </cell>
        </row>
        <row r="3">
          <cell r="E3">
            <v>47.01750594499745</v>
          </cell>
          <cell r="F3">
            <v>135.6767225898825</v>
          </cell>
        </row>
        <row r="4">
          <cell r="E4">
            <v>39539.89801912313</v>
          </cell>
          <cell r="F4">
            <v>70017.83786902313</v>
          </cell>
        </row>
        <row r="5">
          <cell r="E5">
            <v>8479.353188585135</v>
          </cell>
          <cell r="F5">
            <v>9666.398877003012</v>
          </cell>
        </row>
        <row r="6">
          <cell r="E6">
            <v>5817.7630310044815</v>
          </cell>
          <cell r="F6">
            <v>8912.875319102668</v>
          </cell>
        </row>
        <row r="7">
          <cell r="E7">
            <v>6042</v>
          </cell>
          <cell r="F7">
            <v>7801.24</v>
          </cell>
        </row>
        <row r="8">
          <cell r="E8">
            <v>65853.12318624798</v>
          </cell>
          <cell r="F8">
            <v>104314.00348659609</v>
          </cell>
        </row>
        <row r="12">
          <cell r="E12">
            <v>569.4315999673703</v>
          </cell>
          <cell r="F12">
            <v>381.58372637194446</v>
          </cell>
        </row>
        <row r="13">
          <cell r="E13">
            <v>1378.2395653683398</v>
          </cell>
          <cell r="F13">
            <v>135.62027529308193</v>
          </cell>
        </row>
        <row r="14">
          <cell r="E14">
            <v>14430.834473057768</v>
          </cell>
          <cell r="F14">
            <v>14896.885301426837</v>
          </cell>
        </row>
        <row r="15">
          <cell r="F15">
            <v>0</v>
          </cell>
        </row>
        <row r="16">
          <cell r="E16">
            <v>288.75462855208855</v>
          </cell>
          <cell r="F16">
            <v>608.5716912176723</v>
          </cell>
        </row>
        <row r="17">
          <cell r="E17">
            <v>16667.260266945566</v>
          </cell>
          <cell r="F17">
            <v>16022.660994309535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3070</v>
          </cell>
          <cell r="F3">
            <v>1891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8651</v>
          </cell>
          <cell r="F6">
            <v>7463</v>
          </cell>
        </row>
        <row r="7">
          <cell r="E7">
            <v>7</v>
          </cell>
          <cell r="F7">
            <v>3</v>
          </cell>
        </row>
        <row r="8">
          <cell r="E8">
            <v>5089</v>
          </cell>
          <cell r="F8">
            <v>5610</v>
          </cell>
        </row>
        <row r="9">
          <cell r="E9">
            <v>9</v>
          </cell>
          <cell r="F9">
            <v>0</v>
          </cell>
        </row>
        <row r="10">
          <cell r="E10">
            <v>255</v>
          </cell>
          <cell r="F10">
            <v>38</v>
          </cell>
        </row>
        <row r="11">
          <cell r="E11">
            <v>641</v>
          </cell>
          <cell r="F11">
            <v>927</v>
          </cell>
        </row>
        <row r="12">
          <cell r="E12">
            <v>2</v>
          </cell>
          <cell r="F12">
            <v>0</v>
          </cell>
        </row>
        <row r="13">
          <cell r="E13">
            <v>82</v>
          </cell>
          <cell r="F13">
            <v>16</v>
          </cell>
        </row>
        <row r="14">
          <cell r="E14">
            <v>119</v>
          </cell>
          <cell r="F14">
            <v>5</v>
          </cell>
        </row>
        <row r="15">
          <cell r="E15">
            <v>0</v>
          </cell>
          <cell r="F15">
            <v>0</v>
          </cell>
        </row>
        <row r="16">
          <cell r="E16">
            <v>57</v>
          </cell>
          <cell r="F16">
            <v>1</v>
          </cell>
        </row>
        <row r="17">
          <cell r="E17">
            <v>3505</v>
          </cell>
          <cell r="F17">
            <v>2598</v>
          </cell>
        </row>
        <row r="18">
          <cell r="E18">
            <v>1688</v>
          </cell>
          <cell r="F18">
            <v>872</v>
          </cell>
        </row>
        <row r="19">
          <cell r="E19">
            <v>23175</v>
          </cell>
          <cell r="F19">
            <v>19424</v>
          </cell>
        </row>
        <row r="23">
          <cell r="E23">
            <v>822</v>
          </cell>
          <cell r="F23">
            <v>856</v>
          </cell>
        </row>
        <row r="24">
          <cell r="E24">
            <v>0</v>
          </cell>
          <cell r="F24">
            <v>0</v>
          </cell>
        </row>
        <row r="25">
          <cell r="E25">
            <v>2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14</v>
          </cell>
          <cell r="F27">
            <v>0</v>
          </cell>
        </row>
      </sheetData>
      <sheetData sheetId="15">
        <row r="2">
          <cell r="E2">
            <v>0</v>
          </cell>
        </row>
        <row r="3">
          <cell r="E3">
            <v>4590</v>
          </cell>
          <cell r="F3">
            <v>19506</v>
          </cell>
        </row>
        <row r="4">
          <cell r="E4">
            <v>2276</v>
          </cell>
          <cell r="F4">
            <v>2550</v>
          </cell>
        </row>
        <row r="5">
          <cell r="E5">
            <v>23116</v>
          </cell>
          <cell r="F5">
            <v>27972</v>
          </cell>
        </row>
        <row r="6">
          <cell r="E6">
            <v>10512</v>
          </cell>
          <cell r="F6">
            <v>14092</v>
          </cell>
        </row>
        <row r="7">
          <cell r="E7">
            <v>2076</v>
          </cell>
          <cell r="F7">
            <v>2330</v>
          </cell>
        </row>
        <row r="8">
          <cell r="E8">
            <v>42570</v>
          </cell>
          <cell r="F8">
            <v>66450</v>
          </cell>
        </row>
        <row r="12">
          <cell r="E12">
            <v>70021</v>
          </cell>
          <cell r="F12">
            <v>58790</v>
          </cell>
        </row>
        <row r="13">
          <cell r="E13">
            <v>0</v>
          </cell>
        </row>
        <row r="14">
          <cell r="E14">
            <v>508</v>
          </cell>
          <cell r="F14">
            <v>846</v>
          </cell>
        </row>
        <row r="15">
          <cell r="E15">
            <v>70529</v>
          </cell>
          <cell r="F15">
            <v>59636</v>
          </cell>
        </row>
      </sheetData>
      <sheetData sheetId="16">
        <row r="2">
          <cell r="E2">
            <v>1682</v>
          </cell>
          <cell r="F2">
            <v>2581</v>
          </cell>
        </row>
        <row r="3">
          <cell r="E3">
            <v>9051</v>
          </cell>
          <cell r="F3">
            <v>7087</v>
          </cell>
        </row>
        <row r="4">
          <cell r="E4">
            <v>803</v>
          </cell>
          <cell r="F4">
            <v>116</v>
          </cell>
        </row>
        <row r="6">
          <cell r="E6">
            <v>6036</v>
          </cell>
          <cell r="F6">
            <v>7625</v>
          </cell>
        </row>
        <row r="10">
          <cell r="E10">
            <v>1926</v>
          </cell>
          <cell r="F10">
            <v>1391</v>
          </cell>
        </row>
        <row r="11">
          <cell r="E11">
            <v>143</v>
          </cell>
          <cell r="F11">
            <v>789</v>
          </cell>
        </row>
        <row r="12">
          <cell r="E12">
            <v>19641</v>
          </cell>
          <cell r="F12">
            <v>19589</v>
          </cell>
        </row>
        <row r="16">
          <cell r="E16">
            <v>292</v>
          </cell>
        </row>
        <row r="17">
          <cell r="E17">
            <v>130</v>
          </cell>
        </row>
        <row r="18">
          <cell r="E18">
            <v>111</v>
          </cell>
        </row>
        <row r="19">
          <cell r="E19">
            <v>533</v>
          </cell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="65" zoomScaleNormal="65" zoomScalePageLayoutView="0" workbookViewId="0" topLeftCell="A3">
      <selection activeCell="Q9" sqref="Q9"/>
    </sheetView>
  </sheetViews>
  <sheetFormatPr defaultColWidth="9.140625" defaultRowHeight="12.75"/>
  <cols>
    <col min="1" max="2" width="9.140625" style="0" customWidth="1"/>
    <col min="3" max="3" width="18.421875" style="0" customWidth="1"/>
  </cols>
  <sheetData>
    <row r="19" spans="2:7" ht="12.75">
      <c r="B19" t="s">
        <v>174</v>
      </c>
      <c r="G19" s="108" t="s">
        <v>146</v>
      </c>
    </row>
    <row r="21" spans="2:3" ht="12.75">
      <c r="B21" t="s">
        <v>63</v>
      </c>
      <c r="C21" t="s">
        <v>64</v>
      </c>
    </row>
    <row r="22" ht="12.75">
      <c r="C22" t="s">
        <v>65</v>
      </c>
    </row>
    <row r="23" ht="12.75">
      <c r="C23" t="s">
        <v>92</v>
      </c>
    </row>
    <row r="24" ht="12.75">
      <c r="C24" s="3" t="s">
        <v>120</v>
      </c>
    </row>
    <row r="26" spans="2:4" ht="12.75">
      <c r="B26" t="s">
        <v>66</v>
      </c>
      <c r="C26" t="s">
        <v>67</v>
      </c>
      <c r="D26" t="s">
        <v>68</v>
      </c>
    </row>
    <row r="27" spans="3:4" ht="12.75">
      <c r="C27" t="s">
        <v>69</v>
      </c>
      <c r="D27" t="s">
        <v>70</v>
      </c>
    </row>
    <row r="28" spans="3:4" ht="12.75">
      <c r="C28" t="s">
        <v>71</v>
      </c>
      <c r="D28" t="s">
        <v>72</v>
      </c>
    </row>
    <row r="29" spans="3:4" ht="12.75">
      <c r="C29" t="s">
        <v>73</v>
      </c>
      <c r="D29" s="3" t="s">
        <v>88</v>
      </c>
    </row>
    <row r="30" spans="3:4" ht="12.75">
      <c r="C30" s="3" t="s">
        <v>138</v>
      </c>
      <c r="D30" t="s">
        <v>74</v>
      </c>
    </row>
    <row r="31" spans="3:4" ht="12.75">
      <c r="C31" t="s">
        <v>75</v>
      </c>
      <c r="D31" t="s">
        <v>134</v>
      </c>
    </row>
    <row r="32" spans="3:4" ht="12.75">
      <c r="C32" t="s">
        <v>76</v>
      </c>
      <c r="D32" t="s">
        <v>133</v>
      </c>
    </row>
    <row r="33" spans="3:4" ht="12.75">
      <c r="C33" t="s">
        <v>77</v>
      </c>
      <c r="D33" t="s">
        <v>78</v>
      </c>
    </row>
    <row r="34" spans="3:4" ht="12.75">
      <c r="C34" t="s">
        <v>79</v>
      </c>
      <c r="D34" s="26" t="s">
        <v>87</v>
      </c>
    </row>
    <row r="35" spans="3:4" ht="12.75">
      <c r="C35" t="s">
        <v>147</v>
      </c>
      <c r="D35" s="26" t="s">
        <v>148</v>
      </c>
    </row>
    <row r="36" spans="3:4" ht="12.75">
      <c r="C36" t="s">
        <v>81</v>
      </c>
      <c r="D36" t="s">
        <v>158</v>
      </c>
    </row>
    <row r="37" spans="3:4" ht="12.75">
      <c r="C37" t="s">
        <v>80</v>
      </c>
      <c r="D37" t="s">
        <v>86</v>
      </c>
    </row>
    <row r="38" spans="3:4" ht="12.75">
      <c r="C38" t="s">
        <v>82</v>
      </c>
      <c r="D38" t="s">
        <v>85</v>
      </c>
    </row>
    <row r="39" spans="3:4" ht="12.75">
      <c r="C39" t="s">
        <v>83</v>
      </c>
      <c r="D39" t="s">
        <v>84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8" width="11.28125" style="9" customWidth="1"/>
    <col min="9" max="9" width="10.140625" style="9" bestFit="1" customWidth="1"/>
    <col min="10" max="12" width="10.00390625" style="9" customWidth="1"/>
    <col min="13" max="16" width="10.140625" style="9" bestFit="1" customWidth="1"/>
    <col min="17" max="19" width="10.140625" style="0" bestFit="1" customWidth="1"/>
  </cols>
  <sheetData>
    <row r="1" spans="1:19" ht="13.5" thickBot="1">
      <c r="A1" s="53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54" t="s">
        <v>4</v>
      </c>
      <c r="B2" s="61">
        <f>(E2-F2)/F2</f>
        <v>-1</v>
      </c>
      <c r="C2" s="102">
        <f>E2-'[1]Germany'!E2</f>
        <v>0</v>
      </c>
      <c r="D2" s="91">
        <f>F2-'[1]Germany'!F2</f>
        <v>-11</v>
      </c>
      <c r="E2" s="57">
        <v>0</v>
      </c>
      <c r="F2" s="91">
        <v>17</v>
      </c>
      <c r="G2" s="91">
        <v>139</v>
      </c>
      <c r="H2" s="91">
        <v>0</v>
      </c>
      <c r="I2" s="91">
        <v>240</v>
      </c>
      <c r="J2" s="91">
        <v>0</v>
      </c>
      <c r="K2" s="91">
        <v>120</v>
      </c>
      <c r="L2" s="91">
        <v>60</v>
      </c>
      <c r="M2" s="91">
        <v>0</v>
      </c>
      <c r="N2" s="91">
        <v>0</v>
      </c>
      <c r="O2" s="91">
        <v>0</v>
      </c>
      <c r="P2" s="91">
        <v>2</v>
      </c>
      <c r="Q2" s="91">
        <v>106</v>
      </c>
      <c r="R2" s="52">
        <v>0</v>
      </c>
      <c r="S2" s="82">
        <v>273</v>
      </c>
    </row>
    <row r="3" spans="1:19" ht="12.75">
      <c r="A3" s="54" t="s">
        <v>11</v>
      </c>
      <c r="B3" s="61">
        <f aca="true" t="shared" si="0" ref="B3:B21">(E3-F3)/F3</f>
        <v>12.428571428571429</v>
      </c>
      <c r="C3" s="102">
        <f>E3-'[1]Germany'!E3</f>
        <v>-1281</v>
      </c>
      <c r="D3" s="91">
        <f>F3-'[1]Germany'!F3</f>
        <v>-1452</v>
      </c>
      <c r="E3" s="57">
        <v>94</v>
      </c>
      <c r="F3" s="91">
        <v>7</v>
      </c>
      <c r="G3" s="91">
        <v>421</v>
      </c>
      <c r="H3" s="91">
        <v>17</v>
      </c>
      <c r="I3" s="91">
        <v>5</v>
      </c>
      <c r="J3" s="91">
        <v>76</v>
      </c>
      <c r="K3" s="91">
        <v>4</v>
      </c>
      <c r="L3" s="91">
        <v>51</v>
      </c>
      <c r="M3" s="91">
        <v>8</v>
      </c>
      <c r="N3" s="91">
        <v>71</v>
      </c>
      <c r="O3" s="91">
        <v>23</v>
      </c>
      <c r="P3" s="91">
        <v>27</v>
      </c>
      <c r="Q3" s="91">
        <v>22</v>
      </c>
      <c r="R3" s="52">
        <v>0</v>
      </c>
      <c r="S3" s="82">
        <v>0</v>
      </c>
    </row>
    <row r="4" spans="1:19" ht="12.75">
      <c r="A4" s="54" t="s">
        <v>5</v>
      </c>
      <c r="B4" s="61"/>
      <c r="C4" s="102">
        <f>E4-'[1]Germany'!E4</f>
        <v>0</v>
      </c>
      <c r="D4" s="91">
        <f>F4-'[1]Germany'!F4</f>
        <v>0</v>
      </c>
      <c r="E4" s="57">
        <v>0</v>
      </c>
      <c r="F4" s="91"/>
      <c r="G4" s="91"/>
      <c r="H4" s="91">
        <v>0</v>
      </c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1">
        <v>0</v>
      </c>
      <c r="O4" s="91">
        <v>0</v>
      </c>
      <c r="P4" s="91">
        <v>0</v>
      </c>
      <c r="Q4" s="91">
        <v>1</v>
      </c>
      <c r="R4" s="52">
        <v>0</v>
      </c>
      <c r="S4" s="82">
        <v>0</v>
      </c>
    </row>
    <row r="5" spans="1:19" ht="12.75">
      <c r="A5" s="54" t="s">
        <v>2</v>
      </c>
      <c r="B5" s="61">
        <f t="shared" si="0"/>
        <v>-0.029099727190057594</v>
      </c>
      <c r="C5" s="102">
        <f>E5-'[1]Germany'!E5</f>
        <v>-7989</v>
      </c>
      <c r="D5" s="91">
        <f>F5-'[1]Germany'!F5</f>
        <v>-9090</v>
      </c>
      <c r="E5" s="57">
        <v>3203</v>
      </c>
      <c r="F5" s="91">
        <v>3299</v>
      </c>
      <c r="G5" s="91">
        <v>2630</v>
      </c>
      <c r="H5" s="91">
        <v>1447</v>
      </c>
      <c r="I5" s="91">
        <v>2293</v>
      </c>
      <c r="J5" s="91">
        <v>897</v>
      </c>
      <c r="K5" s="91">
        <v>4971</v>
      </c>
      <c r="L5" s="91">
        <v>1277</v>
      </c>
      <c r="M5" s="91">
        <v>120</v>
      </c>
      <c r="N5" s="91">
        <v>788</v>
      </c>
      <c r="O5" s="91">
        <v>956</v>
      </c>
      <c r="P5" s="91">
        <v>2601</v>
      </c>
      <c r="Q5" s="91">
        <v>501</v>
      </c>
      <c r="R5" s="52">
        <v>920</v>
      </c>
      <c r="S5" s="82">
        <v>940</v>
      </c>
    </row>
    <row r="6" spans="1:19" ht="12.75">
      <c r="A6" s="54" t="s">
        <v>12</v>
      </c>
      <c r="B6" s="61">
        <f t="shared" si="0"/>
        <v>7.895522388059701</v>
      </c>
      <c r="C6" s="102">
        <f>E6-'[1]Germany'!E6</f>
        <v>-129</v>
      </c>
      <c r="D6" s="91">
        <f>F6-'[1]Germany'!F6</f>
        <v>-658</v>
      </c>
      <c r="E6" s="57">
        <v>596</v>
      </c>
      <c r="F6" s="91">
        <v>67</v>
      </c>
      <c r="G6" s="91">
        <v>1389</v>
      </c>
      <c r="H6" s="91">
        <v>0</v>
      </c>
      <c r="I6" s="91">
        <v>86</v>
      </c>
      <c r="J6" s="91">
        <v>15</v>
      </c>
      <c r="K6" s="91">
        <v>395</v>
      </c>
      <c r="L6" s="91">
        <v>145</v>
      </c>
      <c r="M6" s="91">
        <v>6</v>
      </c>
      <c r="N6" s="91">
        <v>65</v>
      </c>
      <c r="O6" s="91">
        <v>9</v>
      </c>
      <c r="P6" s="91">
        <v>29</v>
      </c>
      <c r="Q6" s="91">
        <v>45</v>
      </c>
      <c r="R6" s="52">
        <v>2</v>
      </c>
      <c r="S6" s="82">
        <v>6</v>
      </c>
    </row>
    <row r="7" spans="1:19" ht="12.75">
      <c r="A7" s="54" t="s">
        <v>9</v>
      </c>
      <c r="B7" s="61">
        <f t="shared" si="0"/>
        <v>1.381578947368421</v>
      </c>
      <c r="C7" s="102">
        <f>E7-'[1]Germany'!E7</f>
        <v>-2399</v>
      </c>
      <c r="D7" s="91">
        <f>F7-'[1]Germany'!F7</f>
        <v>-2106</v>
      </c>
      <c r="E7" s="57">
        <v>2715</v>
      </c>
      <c r="F7" s="91">
        <v>1140</v>
      </c>
      <c r="G7" s="91">
        <v>555</v>
      </c>
      <c r="H7" s="91">
        <v>116</v>
      </c>
      <c r="I7" s="91">
        <v>59</v>
      </c>
      <c r="J7" s="91">
        <v>111</v>
      </c>
      <c r="K7" s="91">
        <v>55</v>
      </c>
      <c r="L7" s="91">
        <v>228</v>
      </c>
      <c r="M7" s="91">
        <v>31</v>
      </c>
      <c r="N7" s="91">
        <v>67</v>
      </c>
      <c r="O7" s="91">
        <v>111</v>
      </c>
      <c r="P7" s="91">
        <v>2</v>
      </c>
      <c r="Q7" s="91">
        <v>33</v>
      </c>
      <c r="R7" s="52">
        <v>100</v>
      </c>
      <c r="S7" s="82">
        <v>0</v>
      </c>
    </row>
    <row r="8" spans="1:19" ht="12.75">
      <c r="A8" s="54" t="s">
        <v>14</v>
      </c>
      <c r="B8" s="61"/>
      <c r="C8" s="102">
        <f>E8-'[1]Germany'!E8</f>
        <v>0</v>
      </c>
      <c r="D8" s="91">
        <f>F8-'[1]Germany'!F8</f>
        <v>0</v>
      </c>
      <c r="E8" s="57">
        <v>0</v>
      </c>
      <c r="F8" s="91"/>
      <c r="G8" s="91">
        <v>20</v>
      </c>
      <c r="H8" s="91">
        <v>0</v>
      </c>
      <c r="I8" s="91">
        <v>95</v>
      </c>
      <c r="J8" s="91">
        <v>164</v>
      </c>
      <c r="K8" s="91">
        <v>5</v>
      </c>
      <c r="L8" s="91">
        <v>61</v>
      </c>
      <c r="M8" s="91">
        <v>20</v>
      </c>
      <c r="N8" s="91">
        <v>20</v>
      </c>
      <c r="O8" s="91">
        <v>357</v>
      </c>
      <c r="P8" s="91">
        <v>593</v>
      </c>
      <c r="Q8" s="91">
        <v>71</v>
      </c>
      <c r="R8" s="52">
        <v>24</v>
      </c>
      <c r="S8" s="82">
        <v>198</v>
      </c>
    </row>
    <row r="9" spans="1:19" ht="12.75">
      <c r="A9" s="54" t="s">
        <v>3</v>
      </c>
      <c r="B9" s="61">
        <f t="shared" si="0"/>
        <v>0.714041095890411</v>
      </c>
      <c r="C9" s="102">
        <f>E9-'[1]Germany'!E9</f>
        <v>-364</v>
      </c>
      <c r="D9" s="91">
        <f>F9-'[1]Germany'!F9</f>
        <v>-623</v>
      </c>
      <c r="E9" s="57">
        <v>1001</v>
      </c>
      <c r="F9" s="91">
        <v>584</v>
      </c>
      <c r="G9" s="91">
        <v>938</v>
      </c>
      <c r="H9" s="91">
        <v>2</v>
      </c>
      <c r="I9" s="91">
        <v>3010</v>
      </c>
      <c r="J9" s="91">
        <v>2415</v>
      </c>
      <c r="K9" s="91">
        <v>1891</v>
      </c>
      <c r="L9" s="91">
        <v>2175</v>
      </c>
      <c r="M9" s="91">
        <v>1231</v>
      </c>
      <c r="N9" s="91">
        <v>3944</v>
      </c>
      <c r="O9" s="91">
        <v>1731</v>
      </c>
      <c r="P9" s="91">
        <v>3398</v>
      </c>
      <c r="Q9" s="91">
        <v>6179</v>
      </c>
      <c r="R9" s="52">
        <v>1854</v>
      </c>
      <c r="S9" s="82">
        <v>3140</v>
      </c>
    </row>
    <row r="10" spans="1:19" ht="12.75">
      <c r="A10" s="54" t="s">
        <v>15</v>
      </c>
      <c r="B10" s="61"/>
      <c r="C10" s="102">
        <f>E10-'[1]Germany'!E10</f>
        <v>0</v>
      </c>
      <c r="D10" s="91">
        <f>F10-'[1]Germany'!F10</f>
        <v>0</v>
      </c>
      <c r="E10" s="57">
        <v>0</v>
      </c>
      <c r="F10" s="91"/>
      <c r="G10" s="91"/>
      <c r="H10" s="91">
        <v>0</v>
      </c>
      <c r="I10" s="91">
        <v>0</v>
      </c>
      <c r="J10" s="91"/>
      <c r="K10" s="91"/>
      <c r="L10" s="91"/>
      <c r="M10" s="91"/>
      <c r="N10" s="91"/>
      <c r="O10" s="91"/>
      <c r="P10" s="91"/>
      <c r="Q10" s="91"/>
      <c r="R10" s="52"/>
      <c r="S10" s="82"/>
    </row>
    <row r="11" spans="1:19" ht="12.75">
      <c r="A11" s="54" t="s">
        <v>10</v>
      </c>
      <c r="B11" s="61">
        <f t="shared" si="0"/>
        <v>3.5578635014836797</v>
      </c>
      <c r="C11" s="102">
        <f>E11-'[1]Germany'!E11</f>
        <v>-1137</v>
      </c>
      <c r="D11" s="91">
        <f>F11-'[1]Germany'!F11</f>
        <v>-489</v>
      </c>
      <c r="E11" s="57">
        <v>3072</v>
      </c>
      <c r="F11" s="91">
        <v>674</v>
      </c>
      <c r="G11" s="91">
        <v>5076</v>
      </c>
      <c r="H11" s="91">
        <v>2900</v>
      </c>
      <c r="I11" s="91">
        <v>4000</v>
      </c>
      <c r="J11" s="91">
        <v>8537</v>
      </c>
      <c r="K11" s="91">
        <v>1845</v>
      </c>
      <c r="L11" s="91">
        <v>10915</v>
      </c>
      <c r="M11" s="91">
        <v>8239</v>
      </c>
      <c r="N11" s="91">
        <v>4409</v>
      </c>
      <c r="O11" s="91">
        <v>2404</v>
      </c>
      <c r="P11" s="91">
        <v>7976</v>
      </c>
      <c r="Q11" s="91">
        <v>6487</v>
      </c>
      <c r="R11" s="52">
        <v>2588</v>
      </c>
      <c r="S11" s="82">
        <v>5841</v>
      </c>
    </row>
    <row r="12" spans="1:19" ht="12.75">
      <c r="A12" s="54" t="s">
        <v>101</v>
      </c>
      <c r="B12" s="61"/>
      <c r="C12" s="102">
        <f>E12-'[1]Germany'!E12</f>
        <v>0</v>
      </c>
      <c r="D12" s="91">
        <f>F12-'[1]Germany'!F12</f>
        <v>0</v>
      </c>
      <c r="E12" s="57">
        <v>0</v>
      </c>
      <c r="F12" s="91"/>
      <c r="G12" s="91"/>
      <c r="H12" s="91">
        <v>0</v>
      </c>
      <c r="I12" s="91">
        <v>0</v>
      </c>
      <c r="J12" s="91"/>
      <c r="K12" s="91"/>
      <c r="L12" s="91"/>
      <c r="M12" s="91"/>
      <c r="N12" s="91"/>
      <c r="O12" s="91"/>
      <c r="P12" s="91"/>
      <c r="Q12" s="91"/>
      <c r="R12" s="52"/>
      <c r="S12" s="82"/>
    </row>
    <row r="13" spans="1:19" ht="12.75">
      <c r="A13" s="54" t="s">
        <v>27</v>
      </c>
      <c r="B13" s="61">
        <f t="shared" si="0"/>
        <v>-0.15535407988238176</v>
      </c>
      <c r="C13" s="102">
        <f>E13-'[1]Germany'!E13</f>
        <v>-2288</v>
      </c>
      <c r="D13" s="91">
        <f>F13-'[1]Germany'!F13</f>
        <v>-2233</v>
      </c>
      <c r="E13" s="57">
        <v>3447</v>
      </c>
      <c r="F13" s="91">
        <v>4081</v>
      </c>
      <c r="G13" s="91">
        <v>12851</v>
      </c>
      <c r="H13" s="91">
        <v>2457</v>
      </c>
      <c r="I13" s="91">
        <v>11737</v>
      </c>
      <c r="J13" s="91">
        <v>10644</v>
      </c>
      <c r="K13" s="91">
        <v>13258</v>
      </c>
      <c r="L13" s="91">
        <v>12256</v>
      </c>
      <c r="M13" s="91">
        <v>14348</v>
      </c>
      <c r="N13" s="91">
        <v>15996</v>
      </c>
      <c r="O13" s="91">
        <v>10696</v>
      </c>
      <c r="P13" s="91">
        <v>16502</v>
      </c>
      <c r="Q13" s="91">
        <v>18909</v>
      </c>
      <c r="R13" s="52">
        <v>10975</v>
      </c>
      <c r="S13" s="82">
        <v>14020</v>
      </c>
    </row>
    <row r="14" spans="1:19" ht="12.75">
      <c r="A14" s="54" t="s">
        <v>26</v>
      </c>
      <c r="B14" s="61">
        <f t="shared" si="0"/>
        <v>0.4982731137088204</v>
      </c>
      <c r="C14" s="102">
        <f>E14-'[1]Germany'!E14</f>
        <v>-5726</v>
      </c>
      <c r="D14" s="91">
        <f>F14-'[1]Germany'!F14</f>
        <v>-6292</v>
      </c>
      <c r="E14" s="57">
        <v>11279</v>
      </c>
      <c r="F14" s="91">
        <v>7528</v>
      </c>
      <c r="G14" s="91">
        <v>19990</v>
      </c>
      <c r="H14" s="91">
        <v>3797</v>
      </c>
      <c r="I14" s="91">
        <v>20643</v>
      </c>
      <c r="J14" s="91">
        <v>23427</v>
      </c>
      <c r="K14" s="91">
        <v>23756</v>
      </c>
      <c r="L14" s="91">
        <v>20362</v>
      </c>
      <c r="M14" s="91">
        <v>21194</v>
      </c>
      <c r="N14" s="91">
        <v>20725</v>
      </c>
      <c r="O14" s="91">
        <v>14014</v>
      </c>
      <c r="P14" s="91">
        <v>20415</v>
      </c>
      <c r="Q14" s="91">
        <v>18087</v>
      </c>
      <c r="R14" s="52">
        <v>10285</v>
      </c>
      <c r="S14" s="82">
        <v>15241</v>
      </c>
    </row>
    <row r="15" spans="1:19" ht="12.75">
      <c r="A15" s="54" t="s">
        <v>13</v>
      </c>
      <c r="B15" s="61">
        <f t="shared" si="0"/>
        <v>1.4803001876172608</v>
      </c>
      <c r="C15" s="102">
        <f>E15-'[1]Germany'!E15</f>
        <v>-847</v>
      </c>
      <c r="D15" s="91">
        <f>F15-'[1]Germany'!F15</f>
        <v>-1190</v>
      </c>
      <c r="E15" s="57">
        <v>1322</v>
      </c>
      <c r="F15" s="91">
        <v>533</v>
      </c>
      <c r="G15" s="91">
        <v>1411</v>
      </c>
      <c r="H15" s="91">
        <v>393</v>
      </c>
      <c r="I15" s="91">
        <v>3079</v>
      </c>
      <c r="J15" s="91">
        <v>2930</v>
      </c>
      <c r="K15" s="91">
        <v>3758</v>
      </c>
      <c r="L15" s="91">
        <v>1034</v>
      </c>
      <c r="M15" s="91">
        <v>294</v>
      </c>
      <c r="N15" s="91">
        <v>1283</v>
      </c>
      <c r="O15" s="91">
        <v>569</v>
      </c>
      <c r="P15" s="91">
        <v>1051</v>
      </c>
      <c r="Q15" s="91">
        <v>145</v>
      </c>
      <c r="R15" s="52">
        <v>0</v>
      </c>
      <c r="S15" s="82">
        <v>15</v>
      </c>
    </row>
    <row r="16" spans="1:19" ht="12.75">
      <c r="A16" s="54" t="s">
        <v>136</v>
      </c>
      <c r="B16" s="61">
        <f t="shared" si="0"/>
        <v>0.7084996009577015</v>
      </c>
      <c r="C16" s="102">
        <f>E16-'[1]Germany'!E16</f>
        <v>-7943</v>
      </c>
      <c r="D16" s="91">
        <f>F16-'[1]Germany'!F16</f>
        <v>-10245</v>
      </c>
      <c r="E16" s="57">
        <v>25689</v>
      </c>
      <c r="F16" s="91">
        <v>15036</v>
      </c>
      <c r="G16" s="91">
        <v>32959</v>
      </c>
      <c r="H16" s="91">
        <v>13504</v>
      </c>
      <c r="I16" s="91">
        <v>26848</v>
      </c>
      <c r="J16" s="91">
        <v>16081</v>
      </c>
      <c r="K16" s="91">
        <v>10534</v>
      </c>
      <c r="L16" s="91">
        <v>7742</v>
      </c>
      <c r="M16" s="91">
        <v>8421</v>
      </c>
      <c r="N16" s="91">
        <v>6290</v>
      </c>
      <c r="O16" s="91">
        <v>2724</v>
      </c>
      <c r="P16" s="91">
        <v>5220</v>
      </c>
      <c r="Q16" s="91">
        <v>3536</v>
      </c>
      <c r="R16" s="52">
        <v>2043</v>
      </c>
      <c r="S16" s="82">
        <v>262</v>
      </c>
    </row>
    <row r="17" spans="1:20" s="16" customFormat="1" ht="12.75">
      <c r="A17" s="54" t="s">
        <v>91</v>
      </c>
      <c r="B17" s="61"/>
      <c r="C17" s="102">
        <f>E17-'[1]Germany'!E17</f>
        <v>-168</v>
      </c>
      <c r="D17" s="91">
        <f>F17-'[1]Germany'!F17</f>
        <v>-4</v>
      </c>
      <c r="E17" s="57">
        <v>0</v>
      </c>
      <c r="F17" s="91"/>
      <c r="G17" s="91"/>
      <c r="H17" s="91">
        <v>0</v>
      </c>
      <c r="I17" s="91">
        <v>2</v>
      </c>
      <c r="J17" s="91">
        <v>1</v>
      </c>
      <c r="K17" s="91">
        <v>0</v>
      </c>
      <c r="L17" s="91">
        <v>0</v>
      </c>
      <c r="M17" s="91">
        <v>1</v>
      </c>
      <c r="N17" s="91"/>
      <c r="O17" s="91"/>
      <c r="P17" s="91">
        <v>0</v>
      </c>
      <c r="Q17" s="91">
        <v>11</v>
      </c>
      <c r="R17" s="52">
        <v>0</v>
      </c>
      <c r="S17" s="82">
        <v>0</v>
      </c>
      <c r="T17"/>
    </row>
    <row r="18" spans="1:19" ht="12.75">
      <c r="A18" s="54" t="s">
        <v>98</v>
      </c>
      <c r="B18" s="61">
        <f t="shared" si="0"/>
        <v>0.2459016393442623</v>
      </c>
      <c r="C18" s="102">
        <f>E18-'[1]Germany'!E18</f>
        <v>-202</v>
      </c>
      <c r="D18" s="91">
        <f>F18-'[1]Germany'!F18</f>
        <v>-90</v>
      </c>
      <c r="E18" s="57">
        <v>76</v>
      </c>
      <c r="F18" s="91">
        <v>61</v>
      </c>
      <c r="G18" s="91">
        <v>249</v>
      </c>
      <c r="H18" s="91">
        <v>0</v>
      </c>
      <c r="I18" s="91">
        <v>33</v>
      </c>
      <c r="J18" s="91">
        <v>64</v>
      </c>
      <c r="K18" s="91">
        <v>56</v>
      </c>
      <c r="L18" s="91">
        <v>38</v>
      </c>
      <c r="M18" s="91">
        <v>28</v>
      </c>
      <c r="N18" s="91">
        <v>56</v>
      </c>
      <c r="O18" s="91">
        <v>228</v>
      </c>
      <c r="P18" s="91">
        <v>209</v>
      </c>
      <c r="Q18" s="91">
        <v>244</v>
      </c>
      <c r="R18" s="52">
        <v>0</v>
      </c>
      <c r="S18" s="82">
        <v>255</v>
      </c>
    </row>
    <row r="19" spans="1:19" ht="12.75">
      <c r="A19" s="54" t="s">
        <v>145</v>
      </c>
      <c r="B19" s="61">
        <f t="shared" si="0"/>
        <v>0.6592119275825347</v>
      </c>
      <c r="C19" s="102">
        <f>E19-'[1]Germany'!E19</f>
        <v>-5517</v>
      </c>
      <c r="D19" s="91">
        <f>F19-'[1]Germany'!F19</f>
        <v>2132</v>
      </c>
      <c r="E19" s="57">
        <v>7790</v>
      </c>
      <c r="F19" s="91">
        <v>4695</v>
      </c>
      <c r="G19" s="91">
        <v>8199</v>
      </c>
      <c r="H19" s="91">
        <v>615</v>
      </c>
      <c r="I19" s="91">
        <v>3965</v>
      </c>
      <c r="J19" s="91">
        <v>4567</v>
      </c>
      <c r="K19" s="91">
        <v>4610</v>
      </c>
      <c r="L19" s="91">
        <v>2555</v>
      </c>
      <c r="M19" s="91">
        <v>711</v>
      </c>
      <c r="N19" s="91">
        <v>1509</v>
      </c>
      <c r="O19" s="91">
        <v>610</v>
      </c>
      <c r="P19" s="91">
        <v>738</v>
      </c>
      <c r="Q19" s="91">
        <v>567</v>
      </c>
      <c r="R19" s="52">
        <v>460</v>
      </c>
      <c r="S19" s="82">
        <v>0</v>
      </c>
    </row>
    <row r="20" spans="1:19" ht="13.5" thickBot="1">
      <c r="A20" s="55" t="s">
        <v>6</v>
      </c>
      <c r="B20" s="62">
        <f t="shared" si="0"/>
        <v>0.7975460122699386</v>
      </c>
      <c r="C20" s="102">
        <f>E20-'[1]Germany'!E20</f>
        <v>-286</v>
      </c>
      <c r="D20" s="91">
        <f>F20-'[1]Germany'!F20</f>
        <v>-671</v>
      </c>
      <c r="E20" s="57">
        <v>293</v>
      </c>
      <c r="F20" s="91">
        <v>163</v>
      </c>
      <c r="G20" s="91">
        <v>564</v>
      </c>
      <c r="H20" s="91">
        <v>47</v>
      </c>
      <c r="I20" s="92">
        <v>516</v>
      </c>
      <c r="J20" s="92">
        <v>181</v>
      </c>
      <c r="K20" s="92">
        <v>699</v>
      </c>
      <c r="L20" s="92">
        <v>1531</v>
      </c>
      <c r="M20" s="92">
        <v>745</v>
      </c>
      <c r="N20" s="92">
        <v>259</v>
      </c>
      <c r="O20" s="92">
        <v>367</v>
      </c>
      <c r="P20" s="92">
        <v>700</v>
      </c>
      <c r="Q20" s="92">
        <v>597</v>
      </c>
      <c r="R20" s="51">
        <v>488</v>
      </c>
      <c r="S20" s="83">
        <v>533</v>
      </c>
    </row>
    <row r="21" spans="1:19" ht="13.5" thickBot="1">
      <c r="A21" s="56" t="s">
        <v>94</v>
      </c>
      <c r="B21" s="107">
        <f t="shared" si="0"/>
        <v>0.5989705688267124</v>
      </c>
      <c r="C21" s="88">
        <f>E21-'[1]Germany'!E21</f>
        <v>-36276</v>
      </c>
      <c r="D21" s="122">
        <f>F21-'[1]Germany'!F21</f>
        <v>-33022</v>
      </c>
      <c r="E21" s="59">
        <f>SUM(E2:E20)</f>
        <v>60577</v>
      </c>
      <c r="F21" s="122">
        <f>SUM(F2:F20)</f>
        <v>37885</v>
      </c>
      <c r="G21" s="122">
        <f>SUM(G2:G20)</f>
        <v>87391</v>
      </c>
      <c r="H21" s="122">
        <f aca="true" t="shared" si="1" ref="H21:M21">SUM(H2:H20)</f>
        <v>25295</v>
      </c>
      <c r="I21" s="122">
        <f t="shared" si="1"/>
        <v>76611</v>
      </c>
      <c r="J21" s="122">
        <f t="shared" si="1"/>
        <v>70110</v>
      </c>
      <c r="K21" s="122">
        <f t="shared" si="1"/>
        <v>65957</v>
      </c>
      <c r="L21" s="122">
        <f t="shared" si="1"/>
        <v>60430</v>
      </c>
      <c r="M21" s="122">
        <f t="shared" si="1"/>
        <v>55397</v>
      </c>
      <c r="N21" s="122">
        <f aca="true" t="shared" si="2" ref="N21:S21">SUM(N2:N20)</f>
        <v>55482</v>
      </c>
      <c r="O21" s="122">
        <f t="shared" si="2"/>
        <v>34799</v>
      </c>
      <c r="P21" s="122">
        <f t="shared" si="2"/>
        <v>59463</v>
      </c>
      <c r="Q21" s="122">
        <f t="shared" si="2"/>
        <v>55541</v>
      </c>
      <c r="R21" s="60">
        <f t="shared" si="2"/>
        <v>29739</v>
      </c>
      <c r="S21" s="43">
        <f t="shared" si="2"/>
        <v>40724</v>
      </c>
    </row>
    <row r="22" ht="12.75">
      <c r="Q22" s="9"/>
    </row>
    <row r="23" spans="2:19" ht="13.5" thickBot="1">
      <c r="B23" s="3"/>
      <c r="C23" s="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3"/>
      <c r="S23" s="3"/>
    </row>
    <row r="24" spans="1:19" s="69" customFormat="1" ht="13.5" thickBot="1">
      <c r="A24" s="68" t="s">
        <v>25</v>
      </c>
      <c r="B24" s="32" t="s">
        <v>173</v>
      </c>
      <c r="C24" s="63" t="s">
        <v>172</v>
      </c>
      <c r="D24" s="109" t="s">
        <v>171</v>
      </c>
      <c r="E24" s="148">
        <v>44348</v>
      </c>
      <c r="F24" s="161">
        <v>43983</v>
      </c>
      <c r="G24" s="161">
        <v>43617</v>
      </c>
      <c r="H24" s="161">
        <v>43252</v>
      </c>
      <c r="I24" s="33">
        <v>42887</v>
      </c>
      <c r="J24" s="33">
        <v>42522</v>
      </c>
      <c r="K24" s="33">
        <v>42156</v>
      </c>
      <c r="L24" s="33">
        <v>41791</v>
      </c>
      <c r="M24" s="33">
        <v>41426</v>
      </c>
      <c r="N24" s="33">
        <v>41061</v>
      </c>
      <c r="O24" s="33">
        <v>40695</v>
      </c>
      <c r="P24" s="33">
        <v>40330</v>
      </c>
      <c r="Q24" s="33">
        <v>39965</v>
      </c>
      <c r="R24" s="33">
        <v>39600</v>
      </c>
      <c r="S24" s="34">
        <v>39234</v>
      </c>
    </row>
    <row r="25" spans="1:19" s="67" customFormat="1" ht="13.5" thickBot="1">
      <c r="A25" s="74" t="s">
        <v>6</v>
      </c>
      <c r="B25" s="126">
        <f>(E25-F25)/F25</f>
        <v>-1</v>
      </c>
      <c r="C25" s="101">
        <f>E25-'[1]Germany'!E25</f>
        <v>-505</v>
      </c>
      <c r="D25" s="97">
        <f>F25-'[1]Germany'!F25</f>
        <v>-6</v>
      </c>
      <c r="E25" s="76">
        <v>0</v>
      </c>
      <c r="F25" s="97">
        <v>219</v>
      </c>
      <c r="G25" s="97">
        <v>28</v>
      </c>
      <c r="H25" s="97">
        <v>0</v>
      </c>
      <c r="I25" s="97">
        <v>0</v>
      </c>
      <c r="J25" s="97">
        <v>0</v>
      </c>
      <c r="K25" s="97">
        <v>0</v>
      </c>
      <c r="L25" s="97">
        <v>158</v>
      </c>
      <c r="M25" s="97">
        <v>0</v>
      </c>
      <c r="N25" s="97">
        <v>151</v>
      </c>
      <c r="O25" s="97">
        <v>0</v>
      </c>
      <c r="P25" s="97">
        <v>0</v>
      </c>
      <c r="Q25" s="97">
        <v>0</v>
      </c>
      <c r="R25" s="77">
        <v>50</v>
      </c>
      <c r="S25" s="85">
        <v>0</v>
      </c>
    </row>
    <row r="26" spans="1:19" s="67" customFormat="1" ht="13.5" thickBot="1">
      <c r="A26" s="78" t="s">
        <v>94</v>
      </c>
      <c r="B26" s="79">
        <f>(E26-F26)/F26</f>
        <v>-1</v>
      </c>
      <c r="C26" s="117">
        <f>E26-'[1]Germany'!E26</f>
        <v>-505</v>
      </c>
      <c r="D26" s="114">
        <f>F26-'[1]Germany'!F26</f>
        <v>-6</v>
      </c>
      <c r="E26" s="80">
        <v>0</v>
      </c>
      <c r="F26" s="114">
        <f>SUM(F25)</f>
        <v>219</v>
      </c>
      <c r="G26" s="114">
        <f>SUM(G25)</f>
        <v>28</v>
      </c>
      <c r="H26" s="114">
        <v>0</v>
      </c>
      <c r="I26" s="114">
        <v>0</v>
      </c>
      <c r="J26" s="114">
        <v>0</v>
      </c>
      <c r="K26" s="114">
        <v>0</v>
      </c>
      <c r="L26" s="114">
        <f>SUM(L25)</f>
        <v>158</v>
      </c>
      <c r="M26" s="114">
        <f>SUM(M25)</f>
        <v>0</v>
      </c>
      <c r="N26" s="114">
        <f>SUM(N25)</f>
        <v>151</v>
      </c>
      <c r="O26" s="114">
        <v>0</v>
      </c>
      <c r="P26" s="114">
        <f>SUM(P25)</f>
        <v>0</v>
      </c>
      <c r="Q26" s="114">
        <f>SUM(Q25)</f>
        <v>0</v>
      </c>
      <c r="R26" s="81">
        <f>SUM(R25)</f>
        <v>50</v>
      </c>
      <c r="S26" s="86">
        <v>0</v>
      </c>
    </row>
    <row r="27" spans="4:16" s="67" customFormat="1" ht="12.75"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s="67" customFormat="1" ht="12.75">
      <c r="A28" s="69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4:16" s="67" customFormat="1" ht="12.75"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8" width="11.421875" style="9" customWidth="1"/>
    <col min="9" max="9" width="10.140625" style="9" bestFit="1" customWidth="1"/>
    <col min="10" max="16" width="10.140625" style="12" bestFit="1" customWidth="1"/>
    <col min="17" max="19" width="10.140625" style="0" bestFit="1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27" t="s">
        <v>20</v>
      </c>
      <c r="B2" s="35"/>
      <c r="C2" s="64">
        <f>E2-'[1]Italy'!E2</f>
        <v>0</v>
      </c>
      <c r="D2" s="13">
        <f>F2-'[1]Italy'!F2</f>
        <v>0</v>
      </c>
      <c r="E2" s="149"/>
      <c r="F2" s="13"/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37">
        <v>0</v>
      </c>
    </row>
    <row r="3" spans="1:19" ht="12.75">
      <c r="A3" s="27" t="s">
        <v>11</v>
      </c>
      <c r="B3" s="35">
        <f>(E3-F3)/F3</f>
        <v>-0.05422013562858622</v>
      </c>
      <c r="C3" s="64">
        <f>E3-'[1]Italy'!E3</f>
        <v>-9778.729999999998</v>
      </c>
      <c r="D3" s="13">
        <f>F3-'[1]Italy'!F3</f>
        <v>-10463.300000000003</v>
      </c>
      <c r="E3" s="149">
        <v>9065.300000000001</v>
      </c>
      <c r="F3" s="13">
        <v>9585</v>
      </c>
      <c r="G3" s="13">
        <v>17633</v>
      </c>
      <c r="H3" s="13">
        <v>1083.1</v>
      </c>
      <c r="I3" s="13">
        <v>7392</v>
      </c>
      <c r="J3" s="13">
        <v>5596</v>
      </c>
      <c r="K3" s="13">
        <v>8488</v>
      </c>
      <c r="L3" s="13">
        <v>11550</v>
      </c>
      <c r="M3" s="13">
        <v>971</v>
      </c>
      <c r="N3" s="13">
        <v>5419.3017033393735</v>
      </c>
      <c r="O3" s="13">
        <v>5837.360296978515</v>
      </c>
      <c r="P3" s="13">
        <v>11246.1</v>
      </c>
      <c r="Q3" s="13">
        <v>2911</v>
      </c>
      <c r="R3" s="13">
        <v>1451</v>
      </c>
      <c r="S3" s="37">
        <v>794</v>
      </c>
    </row>
    <row r="4" spans="1:19" ht="12.75" customHeight="1">
      <c r="A4" s="54" t="s">
        <v>62</v>
      </c>
      <c r="B4" s="35">
        <f aca="true" t="shared" si="0" ref="B4:B20">(E4-F4)/F4</f>
        <v>8.520738636363637</v>
      </c>
      <c r="C4" s="64">
        <f>E4-'[1]Italy'!E4</f>
        <v>-13806.52</v>
      </c>
      <c r="D4" s="13">
        <f>F4-'[1]Italy'!F4</f>
        <v>-7246.5</v>
      </c>
      <c r="E4" s="149">
        <v>3351.3</v>
      </c>
      <c r="F4" s="13">
        <v>352</v>
      </c>
      <c r="G4" s="13">
        <v>688</v>
      </c>
      <c r="H4" s="13">
        <v>121</v>
      </c>
      <c r="I4" s="13">
        <v>597</v>
      </c>
      <c r="J4" s="144">
        <v>204</v>
      </c>
      <c r="K4" s="144">
        <v>5369</v>
      </c>
      <c r="L4" s="144">
        <v>960</v>
      </c>
      <c r="M4" s="144">
        <v>26</v>
      </c>
      <c r="N4" s="144">
        <v>664.470121667098</v>
      </c>
      <c r="O4" s="144">
        <v>9.04393917590061</v>
      </c>
      <c r="P4" s="133"/>
      <c r="Q4" s="133"/>
      <c r="R4" s="133"/>
      <c r="S4" s="104"/>
    </row>
    <row r="5" spans="1:19" ht="12.75">
      <c r="A5" s="27" t="s">
        <v>2</v>
      </c>
      <c r="B5" s="35"/>
      <c r="C5" s="64">
        <f>E5-'[1]Italy'!E5</f>
        <v>0</v>
      </c>
      <c r="D5" s="13">
        <f>F5-'[1]Italy'!F5</f>
        <v>0</v>
      </c>
      <c r="E5" s="149"/>
      <c r="F5" s="13"/>
      <c r="G5" s="13">
        <v>0</v>
      </c>
      <c r="H5" s="13">
        <v>0</v>
      </c>
      <c r="I5" s="13">
        <v>0</v>
      </c>
      <c r="J5" s="13">
        <v>2</v>
      </c>
      <c r="K5" s="13">
        <v>0</v>
      </c>
      <c r="L5" s="13">
        <v>2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37">
        <v>0</v>
      </c>
    </row>
    <row r="6" spans="1:19" ht="12.75">
      <c r="A6" s="27" t="s">
        <v>12</v>
      </c>
      <c r="B6" s="35">
        <f t="shared" si="0"/>
        <v>0.8768877118040721</v>
      </c>
      <c r="C6" s="64">
        <f>E6-'[1]Italy'!E6</f>
        <v>-14821.547600000002</v>
      </c>
      <c r="D6" s="13">
        <f>F6-'[1]Italy'!F6</f>
        <v>-13052.96</v>
      </c>
      <c r="E6" s="149">
        <v>13181.382399999999</v>
      </c>
      <c r="F6" s="13">
        <v>7023</v>
      </c>
      <c r="G6" s="13">
        <v>11373</v>
      </c>
      <c r="H6" s="13">
        <v>2885.4</v>
      </c>
      <c r="I6" s="13">
        <v>7803</v>
      </c>
      <c r="J6" s="13">
        <v>16350</v>
      </c>
      <c r="K6" s="13">
        <v>10444</v>
      </c>
      <c r="L6" s="13">
        <v>16224</v>
      </c>
      <c r="M6" s="13">
        <v>2685</v>
      </c>
      <c r="N6" s="13">
        <v>4464.314387781517</v>
      </c>
      <c r="O6" s="13">
        <v>10357.32012066751</v>
      </c>
      <c r="P6" s="13">
        <v>6384.7</v>
      </c>
      <c r="Q6" s="13">
        <v>3677.6</v>
      </c>
      <c r="R6" s="13">
        <v>3219</v>
      </c>
      <c r="S6" s="37">
        <v>1549</v>
      </c>
    </row>
    <row r="7" spans="1:19" ht="12.75">
      <c r="A7" s="27" t="s">
        <v>9</v>
      </c>
      <c r="B7" s="35">
        <f t="shared" si="0"/>
        <v>3.7096774193548385</v>
      </c>
      <c r="C7" s="64">
        <f>E7-'[1]Italy'!E7</f>
        <v>-1098.8000000000002</v>
      </c>
      <c r="D7" s="13">
        <f>F7-'[1]Italy'!F7</f>
        <v>-1528.8700000000001</v>
      </c>
      <c r="E7" s="149">
        <v>146</v>
      </c>
      <c r="F7" s="13">
        <v>31</v>
      </c>
      <c r="G7" s="13">
        <v>13</v>
      </c>
      <c r="H7" s="13">
        <v>3</v>
      </c>
      <c r="I7" s="13">
        <v>11</v>
      </c>
      <c r="J7" s="13">
        <v>0</v>
      </c>
      <c r="K7" s="13">
        <v>31</v>
      </c>
      <c r="L7" s="13">
        <v>84</v>
      </c>
      <c r="M7" s="13">
        <v>0</v>
      </c>
      <c r="N7" s="13">
        <v>0</v>
      </c>
      <c r="O7" s="13">
        <v>17.082996221145596</v>
      </c>
      <c r="P7" s="13">
        <v>28</v>
      </c>
      <c r="Q7" s="13">
        <v>6</v>
      </c>
      <c r="R7" s="13">
        <v>8</v>
      </c>
      <c r="S7" s="37">
        <v>14</v>
      </c>
    </row>
    <row r="8" spans="1:19" ht="12.75">
      <c r="A8" s="27" t="s">
        <v>14</v>
      </c>
      <c r="B8" s="35"/>
      <c r="C8" s="64">
        <f>E8-'[1]Italy'!E8</f>
        <v>0</v>
      </c>
      <c r="D8" s="13">
        <f>F8-'[1]Italy'!F8</f>
        <v>0</v>
      </c>
      <c r="E8" s="149"/>
      <c r="F8" s="13"/>
      <c r="G8" s="13">
        <v>5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3">
        <v>29.152244369660885</v>
      </c>
      <c r="O8" s="13">
        <v>0</v>
      </c>
      <c r="P8" s="13">
        <v>0</v>
      </c>
      <c r="Q8" s="13">
        <v>57</v>
      </c>
      <c r="R8" s="13">
        <v>8</v>
      </c>
      <c r="S8" s="37">
        <v>31</v>
      </c>
    </row>
    <row r="9" spans="1:19" ht="12.75">
      <c r="A9" s="29" t="s">
        <v>3</v>
      </c>
      <c r="B9" s="35">
        <f t="shared" si="0"/>
        <v>-0.04021169532917547</v>
      </c>
      <c r="C9" s="64">
        <f>E9-'[1]Italy'!E9</f>
        <v>-65511.29679999998</v>
      </c>
      <c r="D9" s="13">
        <f>F9-'[1]Italy'!F9</f>
        <v>-70636.88999999998</v>
      </c>
      <c r="E9" s="149">
        <v>149737.5332</v>
      </c>
      <c r="F9" s="13">
        <v>156011</v>
      </c>
      <c r="G9" s="13">
        <v>206496</v>
      </c>
      <c r="H9" s="13">
        <v>43211</v>
      </c>
      <c r="I9" s="110">
        <v>203673</v>
      </c>
      <c r="J9" s="110">
        <v>186422</v>
      </c>
      <c r="K9" s="110">
        <v>191259</v>
      </c>
      <c r="L9" s="110">
        <v>160554</v>
      </c>
      <c r="M9" s="110">
        <v>120146</v>
      </c>
      <c r="N9" s="110">
        <v>156794.84371731814</v>
      </c>
      <c r="O9" s="110">
        <v>147935.73262872887</v>
      </c>
      <c r="P9" s="110">
        <v>150762.03</v>
      </c>
      <c r="Q9" s="110">
        <v>188867.1</v>
      </c>
      <c r="R9" s="13">
        <v>108952</v>
      </c>
      <c r="S9" s="37">
        <v>117945</v>
      </c>
    </row>
    <row r="10" spans="1:19" ht="12.75">
      <c r="A10" s="29" t="s">
        <v>17</v>
      </c>
      <c r="B10" s="35">
        <f t="shared" si="0"/>
        <v>0.9728661401579528</v>
      </c>
      <c r="C10" s="64">
        <f>E10-'[1]Italy'!E10</f>
        <v>-14353.190000000002</v>
      </c>
      <c r="D10" s="13">
        <f>F10-'[1]Italy'!F10</f>
        <v>-7587.799999999999</v>
      </c>
      <c r="E10" s="149">
        <v>19734.58</v>
      </c>
      <c r="F10" s="13">
        <v>10003</v>
      </c>
      <c r="G10" s="13">
        <v>17631</v>
      </c>
      <c r="H10" s="13">
        <v>12616.9</v>
      </c>
      <c r="I10" s="110">
        <v>7997</v>
      </c>
      <c r="J10" s="110">
        <v>17546</v>
      </c>
      <c r="K10" s="110">
        <v>10712</v>
      </c>
      <c r="L10" s="110">
        <v>10134</v>
      </c>
      <c r="M10" s="110">
        <v>883</v>
      </c>
      <c r="N10" s="110">
        <v>6667.821962205539</v>
      </c>
      <c r="O10" s="110">
        <v>4118.006971426744</v>
      </c>
      <c r="P10" s="110">
        <v>2308.11</v>
      </c>
      <c r="Q10" s="110">
        <v>2778</v>
      </c>
      <c r="R10" s="13">
        <v>57</v>
      </c>
      <c r="S10" s="37">
        <v>246</v>
      </c>
    </row>
    <row r="11" spans="1:19" ht="12.75">
      <c r="A11" s="29" t="s">
        <v>10</v>
      </c>
      <c r="B11" s="35"/>
      <c r="C11" s="64">
        <f>E11-'[1]Italy'!E11</f>
        <v>0</v>
      </c>
      <c r="D11" s="13">
        <f>F11-'[1]Italy'!F11</f>
        <v>0</v>
      </c>
      <c r="E11" s="149"/>
      <c r="F11" s="13"/>
      <c r="G11" s="13">
        <v>40</v>
      </c>
      <c r="H11" s="13">
        <v>248</v>
      </c>
      <c r="I11" s="110">
        <v>258</v>
      </c>
      <c r="J11" s="110">
        <v>420</v>
      </c>
      <c r="K11" s="110">
        <v>301</v>
      </c>
      <c r="L11" s="110">
        <v>1783</v>
      </c>
      <c r="M11" s="110">
        <v>895</v>
      </c>
      <c r="N11" s="110">
        <v>1306.824747605488</v>
      </c>
      <c r="O11" s="110">
        <v>214.03989382964775</v>
      </c>
      <c r="P11" s="110">
        <v>1855.07</v>
      </c>
      <c r="Q11" s="110">
        <v>2142</v>
      </c>
      <c r="R11" s="13">
        <v>1367</v>
      </c>
      <c r="S11" s="37">
        <v>1689</v>
      </c>
    </row>
    <row r="12" spans="1:19" ht="12.75">
      <c r="A12" s="29" t="s">
        <v>27</v>
      </c>
      <c r="B12" s="35">
        <f t="shared" si="0"/>
        <v>-0.5132670551936922</v>
      </c>
      <c r="C12" s="64">
        <f>E12-'[1]Italy'!E12</f>
        <v>-394.01</v>
      </c>
      <c r="D12" s="13">
        <f>F12-'[1]Italy'!F12</f>
        <v>-630.0999999999999</v>
      </c>
      <c r="E12" s="149">
        <v>1419.8</v>
      </c>
      <c r="F12" s="13">
        <v>2917</v>
      </c>
      <c r="G12" s="13">
        <v>4180</v>
      </c>
      <c r="H12" s="13">
        <v>1981</v>
      </c>
      <c r="I12" s="110">
        <v>2783</v>
      </c>
      <c r="J12" s="110">
        <v>5852</v>
      </c>
      <c r="K12" s="110">
        <v>5174</v>
      </c>
      <c r="L12" s="110">
        <v>7910</v>
      </c>
      <c r="M12" s="110">
        <v>3745</v>
      </c>
      <c r="N12" s="110">
        <v>6930.192161532487</v>
      </c>
      <c r="O12" s="110">
        <v>1405.830100787217</v>
      </c>
      <c r="P12" s="110">
        <v>7683.94</v>
      </c>
      <c r="Q12" s="110">
        <v>8221</v>
      </c>
      <c r="R12" s="13">
        <v>5758</v>
      </c>
      <c r="S12" s="37">
        <v>4555</v>
      </c>
    </row>
    <row r="13" spans="1:19" ht="12.75">
      <c r="A13" s="29" t="s">
        <v>51</v>
      </c>
      <c r="B13" s="35"/>
      <c r="C13" s="64">
        <f>E13-'[1]Italy'!E13</f>
        <v>0</v>
      </c>
      <c r="D13" s="13">
        <f>F13-'[1]Italy'!F13</f>
        <v>0</v>
      </c>
      <c r="E13" s="149"/>
      <c r="F13" s="13"/>
      <c r="G13" s="13">
        <v>0</v>
      </c>
      <c r="H13" s="13">
        <v>0</v>
      </c>
      <c r="I13" s="110">
        <v>0</v>
      </c>
      <c r="J13" s="110">
        <v>0</v>
      </c>
      <c r="K13" s="110">
        <v>0</v>
      </c>
      <c r="L13" s="110"/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3">
        <v>0</v>
      </c>
      <c r="S13" s="37">
        <v>0</v>
      </c>
    </row>
    <row r="14" spans="1:19" ht="12.75">
      <c r="A14" s="29" t="s">
        <v>107</v>
      </c>
      <c r="B14" s="35">
        <f t="shared" si="0"/>
        <v>2.064621199671323</v>
      </c>
      <c r="C14" s="64">
        <f>E14-'[1]Italy'!E14</f>
        <v>-2229.436</v>
      </c>
      <c r="D14" s="13">
        <f>F14-'[1]Italy'!F14</f>
        <v>-2029.5500000000002</v>
      </c>
      <c r="E14" s="149">
        <v>3729.644</v>
      </c>
      <c r="F14" s="13">
        <v>1217</v>
      </c>
      <c r="G14" s="13">
        <v>4657</v>
      </c>
      <c r="H14" s="13">
        <v>42.9</v>
      </c>
      <c r="I14" s="110">
        <v>3203</v>
      </c>
      <c r="J14" s="110">
        <v>4487</v>
      </c>
      <c r="K14" s="110">
        <v>4694</v>
      </c>
      <c r="L14" s="110">
        <v>4576</v>
      </c>
      <c r="M14" s="110">
        <v>2699</v>
      </c>
      <c r="N14" s="110">
        <v>1878.8118871343515</v>
      </c>
      <c r="O14" s="110">
        <v>3914.0158989036527</v>
      </c>
      <c r="P14" s="110">
        <v>1304.41</v>
      </c>
      <c r="Q14" s="110">
        <v>6638</v>
      </c>
      <c r="R14" s="13">
        <v>697</v>
      </c>
      <c r="S14" s="37">
        <v>2131</v>
      </c>
    </row>
    <row r="15" spans="1:19" ht="12.75">
      <c r="A15" s="29" t="s">
        <v>13</v>
      </c>
      <c r="B15" s="35">
        <f t="shared" si="0"/>
        <v>1.82641636577708</v>
      </c>
      <c r="C15" s="64">
        <f>E15-'[1]Italy'!E15</f>
        <v>-8011.282199999998</v>
      </c>
      <c r="D15" s="13">
        <f>F15-'[1]Italy'!F15</f>
        <v>-8040.699999999999</v>
      </c>
      <c r="E15" s="149">
        <v>14403.4178</v>
      </c>
      <c r="F15" s="13">
        <v>5096</v>
      </c>
      <c r="G15" s="13">
        <v>10644</v>
      </c>
      <c r="H15" s="13"/>
      <c r="I15" s="110"/>
      <c r="J15" s="110"/>
      <c r="K15" s="110"/>
      <c r="L15" s="110"/>
      <c r="M15" s="110"/>
      <c r="N15" s="110"/>
      <c r="O15" s="110"/>
      <c r="P15" s="110"/>
      <c r="Q15" s="110"/>
      <c r="R15" s="13"/>
      <c r="S15" s="37"/>
    </row>
    <row r="16" spans="1:19" ht="12.75">
      <c r="A16" s="29" t="s">
        <v>19</v>
      </c>
      <c r="B16" s="35">
        <f t="shared" si="0"/>
        <v>0.3784826217289152</v>
      </c>
      <c r="C16" s="64">
        <f>E16-'[1]Italy'!E16</f>
        <v>-25284.868999999995</v>
      </c>
      <c r="D16" s="13">
        <f>F16-'[1]Italy'!F16</f>
        <v>-13691.189999999999</v>
      </c>
      <c r="E16" s="149">
        <v>17014.611</v>
      </c>
      <c r="F16" s="13">
        <v>12343</v>
      </c>
      <c r="G16" s="13">
        <v>17044</v>
      </c>
      <c r="H16" s="13">
        <v>5838.099999999999</v>
      </c>
      <c r="I16" s="110">
        <v>22874</v>
      </c>
      <c r="J16" s="110">
        <v>16704</v>
      </c>
      <c r="K16" s="110">
        <v>12873</v>
      </c>
      <c r="L16" s="110">
        <v>16153</v>
      </c>
      <c r="M16" s="110">
        <v>3631</v>
      </c>
      <c r="N16" s="110">
        <v>5219.256991975149</v>
      </c>
      <c r="O16" s="110">
        <v>5678.588920334927</v>
      </c>
      <c r="P16" s="110">
        <v>10603.81</v>
      </c>
      <c r="Q16" s="110">
        <v>7461.7</v>
      </c>
      <c r="R16" s="13">
        <v>1606</v>
      </c>
      <c r="S16" s="37">
        <v>10459</v>
      </c>
    </row>
    <row r="17" spans="1:19" ht="12.75">
      <c r="A17" s="29" t="s">
        <v>108</v>
      </c>
      <c r="B17" s="35">
        <f t="shared" si="0"/>
        <v>16.24966120401338</v>
      </c>
      <c r="C17" s="64">
        <f>E17-'[1]Italy'!E17</f>
        <v>-3115.3513000000003</v>
      </c>
      <c r="D17" s="13">
        <f>F17-'[1]Italy'!F17</f>
        <v>-1202.3</v>
      </c>
      <c r="E17" s="149">
        <v>5157.6487</v>
      </c>
      <c r="F17" s="13">
        <v>299</v>
      </c>
      <c r="G17" s="13">
        <v>4450</v>
      </c>
      <c r="H17" s="13">
        <v>0</v>
      </c>
      <c r="I17" s="110">
        <v>2725</v>
      </c>
      <c r="J17" s="110">
        <v>2541</v>
      </c>
      <c r="K17" s="110">
        <v>2057</v>
      </c>
      <c r="L17" s="110">
        <v>1413</v>
      </c>
      <c r="M17" s="110">
        <v>69</v>
      </c>
      <c r="N17" s="110">
        <v>968.0555630339114</v>
      </c>
      <c r="O17" s="110">
        <v>0</v>
      </c>
      <c r="P17" s="110">
        <v>841</v>
      </c>
      <c r="Q17" s="110">
        <v>0</v>
      </c>
      <c r="R17" s="13">
        <v>0</v>
      </c>
      <c r="S17" s="37">
        <v>0</v>
      </c>
    </row>
    <row r="18" spans="1:19" ht="12.75">
      <c r="A18" s="29" t="s">
        <v>21</v>
      </c>
      <c r="B18" s="35"/>
      <c r="C18" s="64">
        <f>E18-'[1]Italy'!E18</f>
        <v>0</v>
      </c>
      <c r="D18" s="13">
        <f>F18-'[1]Italy'!F18</f>
        <v>0</v>
      </c>
      <c r="E18" s="149"/>
      <c r="F18" s="13"/>
      <c r="G18" s="13">
        <v>300</v>
      </c>
      <c r="H18" s="13">
        <v>9</v>
      </c>
      <c r="I18" s="110">
        <v>1179</v>
      </c>
      <c r="J18" s="110">
        <v>2813</v>
      </c>
      <c r="K18" s="110">
        <v>1884</v>
      </c>
      <c r="L18" s="110">
        <v>1796</v>
      </c>
      <c r="M18" s="110"/>
      <c r="N18" s="110">
        <v>1708.924669945638</v>
      </c>
      <c r="O18" s="110">
        <v>2090.154831763696</v>
      </c>
      <c r="P18" s="110">
        <v>279.79</v>
      </c>
      <c r="Q18" s="110">
        <v>1268</v>
      </c>
      <c r="R18" s="13">
        <v>0</v>
      </c>
      <c r="S18" s="37">
        <v>1173</v>
      </c>
    </row>
    <row r="19" spans="1:19" ht="13.5" thickBot="1">
      <c r="A19" s="30" t="s">
        <v>60</v>
      </c>
      <c r="B19" s="36">
        <f t="shared" si="0"/>
        <v>3.5341905318527176</v>
      </c>
      <c r="C19" s="65">
        <f>E19-'[1]Italy'!E19</f>
        <v>-12443</v>
      </c>
      <c r="D19" s="15">
        <f>F19-'[1]Italy'!F19</f>
        <v>-9681</v>
      </c>
      <c r="E19" s="150">
        <f>2375+5383</f>
        <v>7758</v>
      </c>
      <c r="F19" s="15">
        <f>751+960</f>
        <v>1711</v>
      </c>
      <c r="G19" s="15">
        <v>10306</v>
      </c>
      <c r="H19" s="15">
        <v>659</v>
      </c>
      <c r="I19" s="111">
        <v>9767</v>
      </c>
      <c r="J19" s="111">
        <v>3032</v>
      </c>
      <c r="K19" s="111">
        <v>4308</v>
      </c>
      <c r="L19" s="111">
        <v>3801</v>
      </c>
      <c r="M19" s="111">
        <v>320</v>
      </c>
      <c r="N19" s="111">
        <v>2112.029842091639</v>
      </c>
      <c r="O19" s="111">
        <v>6961.823401182158</v>
      </c>
      <c r="P19" s="111">
        <v>3515</v>
      </c>
      <c r="Q19" s="111">
        <v>873</v>
      </c>
      <c r="R19" s="15">
        <v>197</v>
      </c>
      <c r="S19" s="39">
        <v>106</v>
      </c>
    </row>
    <row r="20" spans="1:19" ht="13.5" thickBot="1">
      <c r="A20" s="45" t="s">
        <v>23</v>
      </c>
      <c r="B20" s="41">
        <f t="shared" si="0"/>
        <v>0.18447933616666978</v>
      </c>
      <c r="C20" s="66">
        <f>E20-'[1]Italy'!E20</f>
        <v>-170848.03290000002</v>
      </c>
      <c r="D20" s="42">
        <f>F20-'[1]Italy'!F20</f>
        <v>-145791.15999999997</v>
      </c>
      <c r="E20" s="135">
        <f>SUM(E2:E19)</f>
        <v>244699.21709999998</v>
      </c>
      <c r="F20" s="42">
        <f>SUM(F2:F19)</f>
        <v>206588</v>
      </c>
      <c r="G20" s="42">
        <f>SUM(G2:G19)</f>
        <v>305460</v>
      </c>
      <c r="H20" s="42">
        <f aca="true" t="shared" si="1" ref="H20:M20">SUM(H2:H19)</f>
        <v>68698.40000000001</v>
      </c>
      <c r="I20" s="42">
        <f t="shared" si="1"/>
        <v>270262</v>
      </c>
      <c r="J20" s="42">
        <f t="shared" si="1"/>
        <v>261969</v>
      </c>
      <c r="K20" s="42">
        <f t="shared" si="1"/>
        <v>257594</v>
      </c>
      <c r="L20" s="42">
        <f t="shared" si="1"/>
        <v>236941</v>
      </c>
      <c r="M20" s="42">
        <f t="shared" si="1"/>
        <v>136070</v>
      </c>
      <c r="N20" s="42">
        <f aca="true" t="shared" si="2" ref="N20:S20">SUM(N2:N19)</f>
        <v>194164.00000000003</v>
      </c>
      <c r="O20" s="42">
        <f t="shared" si="2"/>
        <v>188539.00000000003</v>
      </c>
      <c r="P20" s="42">
        <f t="shared" si="2"/>
        <v>196811.96</v>
      </c>
      <c r="Q20" s="42">
        <f t="shared" si="2"/>
        <v>224900.40000000002</v>
      </c>
      <c r="R20" s="42">
        <f t="shared" si="2"/>
        <v>123320</v>
      </c>
      <c r="S20" s="43">
        <f t="shared" si="2"/>
        <v>140692</v>
      </c>
    </row>
    <row r="21" spans="2:17" s="9" customFormat="1" ht="12.75">
      <c r="B21" s="44"/>
      <c r="C21" s="44"/>
      <c r="D21" s="44"/>
      <c r="E21" s="44"/>
      <c r="F21" s="44"/>
      <c r="G21" s="44"/>
      <c r="H21" s="44"/>
      <c r="I21" s="44"/>
      <c r="J21" s="12"/>
      <c r="K21" s="12"/>
      <c r="L21" s="12"/>
      <c r="M21" s="12"/>
      <c r="N21" s="12"/>
      <c r="O21" s="12"/>
      <c r="P21" s="12"/>
      <c r="Q21" s="12"/>
    </row>
    <row r="22" spans="2:17" s="9" customFormat="1" ht="13.5" thickBot="1">
      <c r="B22" s="44"/>
      <c r="C22" s="44"/>
      <c r="D22" s="44"/>
      <c r="E22" s="44"/>
      <c r="F22" s="44"/>
      <c r="G22" s="44"/>
      <c r="H22" s="44"/>
      <c r="I22" s="44"/>
      <c r="J22" s="12"/>
      <c r="K22" s="12"/>
      <c r="L22" s="12"/>
      <c r="M22" s="12"/>
      <c r="N22" s="12"/>
      <c r="O22" s="12"/>
      <c r="P22" s="12"/>
      <c r="Q22" s="12"/>
    </row>
    <row r="23" spans="1:19" s="16" customFormat="1" ht="13.5" thickBot="1">
      <c r="A23" s="31" t="s">
        <v>25</v>
      </c>
      <c r="B23" s="32" t="s">
        <v>173</v>
      </c>
      <c r="C23" s="63" t="s">
        <v>172</v>
      </c>
      <c r="D23" s="109" t="s">
        <v>171</v>
      </c>
      <c r="E23" s="148">
        <v>44348</v>
      </c>
      <c r="F23" s="161">
        <v>43983</v>
      </c>
      <c r="G23" s="161">
        <v>43617</v>
      </c>
      <c r="H23" s="161">
        <v>43252</v>
      </c>
      <c r="I23" s="33">
        <v>42887</v>
      </c>
      <c r="J23" s="33">
        <v>42522</v>
      </c>
      <c r="K23" s="33">
        <v>42156</v>
      </c>
      <c r="L23" s="33">
        <v>41791</v>
      </c>
      <c r="M23" s="33">
        <v>41426</v>
      </c>
      <c r="N23" s="33">
        <v>41061</v>
      </c>
      <c r="O23" s="33">
        <v>40695</v>
      </c>
      <c r="P23" s="33">
        <v>40330</v>
      </c>
      <c r="Q23" s="33">
        <v>39965</v>
      </c>
      <c r="R23" s="33">
        <v>39600</v>
      </c>
      <c r="S23" s="34">
        <v>39234</v>
      </c>
    </row>
    <row r="24" spans="1:19" ht="12.75">
      <c r="A24" s="27" t="s">
        <v>105</v>
      </c>
      <c r="B24" s="35"/>
      <c r="C24" s="64">
        <f>E24-'[1]Italy'!E24</f>
        <v>-7280.477444213855</v>
      </c>
      <c r="D24" s="13">
        <f>F24-'[1]Italy'!F24</f>
        <v>0</v>
      </c>
      <c r="E24" s="149">
        <v>17.26762347198182</v>
      </c>
      <c r="F24" s="13">
        <v>0</v>
      </c>
      <c r="G24" s="13">
        <v>0</v>
      </c>
      <c r="H24" s="13">
        <v>1652.84268799742</v>
      </c>
      <c r="I24" s="155">
        <v>0</v>
      </c>
      <c r="J24" s="13">
        <v>54.162592707646056</v>
      </c>
      <c r="K24" s="13">
        <v>0</v>
      </c>
      <c r="L24" s="13">
        <v>0</v>
      </c>
      <c r="M24" s="13"/>
      <c r="N24" s="13"/>
      <c r="O24" s="13"/>
      <c r="P24" s="13"/>
      <c r="Q24" s="13"/>
      <c r="R24" s="13"/>
      <c r="S24" s="37"/>
    </row>
    <row r="25" spans="1:19" ht="12.75">
      <c r="A25" s="27" t="s">
        <v>7</v>
      </c>
      <c r="B25" s="35"/>
      <c r="C25" s="64">
        <f>E25-'[1]Italy'!E25</f>
        <v>-4683.962604352885</v>
      </c>
      <c r="D25" s="13">
        <f>F25-'[1]Italy'!F25</f>
        <v>0</v>
      </c>
      <c r="E25" s="149">
        <v>1423.509271709275</v>
      </c>
      <c r="F25" s="13">
        <v>0</v>
      </c>
      <c r="G25" s="13">
        <v>0</v>
      </c>
      <c r="H25" s="13">
        <v>2037.7809362306027</v>
      </c>
      <c r="I25" s="155">
        <v>0</v>
      </c>
      <c r="J25" s="13">
        <v>4632.711504646346</v>
      </c>
      <c r="K25" s="13">
        <v>402</v>
      </c>
      <c r="L25" s="13">
        <v>6010</v>
      </c>
      <c r="M25" s="13"/>
      <c r="N25" s="13"/>
      <c r="O25" s="13"/>
      <c r="P25" s="13"/>
      <c r="Q25" s="13"/>
      <c r="R25" s="13"/>
      <c r="S25" s="37"/>
    </row>
    <row r="26" spans="1:19" ht="12.75">
      <c r="A26" s="27" t="s">
        <v>106</v>
      </c>
      <c r="B26" s="35"/>
      <c r="C26" s="64">
        <f>E26-'[1]Italy'!E26</f>
        <v>0</v>
      </c>
      <c r="D26" s="13">
        <f>F26-'[1]Italy'!F26</f>
        <v>0</v>
      </c>
      <c r="E26" s="149">
        <v>0</v>
      </c>
      <c r="F26" s="13">
        <v>0</v>
      </c>
      <c r="G26" s="13">
        <v>0</v>
      </c>
      <c r="H26" s="13">
        <v>0</v>
      </c>
      <c r="I26" s="155">
        <v>0</v>
      </c>
      <c r="J26" s="13">
        <v>0</v>
      </c>
      <c r="K26" s="13">
        <v>0</v>
      </c>
      <c r="L26" s="13">
        <v>0</v>
      </c>
      <c r="M26" s="13"/>
      <c r="N26" s="13"/>
      <c r="O26" s="13"/>
      <c r="P26" s="13"/>
      <c r="Q26" s="13"/>
      <c r="R26" s="13"/>
      <c r="S26" s="37"/>
    </row>
    <row r="27" spans="1:19" ht="12.75">
      <c r="A27" s="27" t="s">
        <v>30</v>
      </c>
      <c r="B27" s="35"/>
      <c r="C27" s="64">
        <f>E27-'[1]Italy'!E27</f>
        <v>-3224.9750682694016</v>
      </c>
      <c r="D27" s="13">
        <f>F27-'[1]Italy'!F27</f>
        <v>0</v>
      </c>
      <c r="E27" s="149">
        <v>144.93385136209295</v>
      </c>
      <c r="F27" s="13">
        <v>0</v>
      </c>
      <c r="G27" s="13">
        <v>0</v>
      </c>
      <c r="H27" s="13">
        <v>873.4197888161268</v>
      </c>
      <c r="I27" s="155">
        <v>0</v>
      </c>
      <c r="J27" s="13">
        <v>4.25</v>
      </c>
      <c r="K27" s="13">
        <v>0</v>
      </c>
      <c r="L27" s="13">
        <v>610</v>
      </c>
      <c r="M27" s="13"/>
      <c r="N27" s="13"/>
      <c r="O27" s="13"/>
      <c r="P27" s="13"/>
      <c r="Q27" s="13"/>
      <c r="R27" s="13"/>
      <c r="S27" s="37"/>
    </row>
    <row r="28" spans="1:19" ht="13.5" thickBot="1">
      <c r="A28" s="38" t="s">
        <v>60</v>
      </c>
      <c r="B28" s="36"/>
      <c r="C28" s="65">
        <f>E28-'[1]Italy'!E28</f>
        <v>-676.474500837618</v>
      </c>
      <c r="D28" s="15">
        <f>F28-'[1]Italy'!F28</f>
        <v>0</v>
      </c>
      <c r="E28" s="150">
        <v>600</v>
      </c>
      <c r="F28" s="15">
        <v>0</v>
      </c>
      <c r="G28" s="15">
        <v>0</v>
      </c>
      <c r="H28" s="15">
        <v>0</v>
      </c>
      <c r="I28" s="156">
        <v>0</v>
      </c>
      <c r="J28" s="15">
        <v>0</v>
      </c>
      <c r="K28" s="15">
        <v>0</v>
      </c>
      <c r="L28" s="15">
        <v>0</v>
      </c>
      <c r="M28" s="15"/>
      <c r="N28" s="15"/>
      <c r="O28" s="15"/>
      <c r="P28" s="15"/>
      <c r="Q28" s="15"/>
      <c r="R28" s="15"/>
      <c r="S28" s="39"/>
    </row>
    <row r="29" spans="1:19" ht="13.5" thickBot="1">
      <c r="A29" s="40" t="s">
        <v>23</v>
      </c>
      <c r="B29" s="41"/>
      <c r="C29" s="66">
        <f>E29-'[1]Italy'!E29</f>
        <v>-15865.889617673762</v>
      </c>
      <c r="D29" s="42">
        <f>F29-'[1]Italy'!F29</f>
        <v>0</v>
      </c>
      <c r="E29" s="135">
        <f>SUM(E24:E28)</f>
        <v>2185.71074654335</v>
      </c>
      <c r="F29" s="42">
        <v>0</v>
      </c>
      <c r="G29" s="42">
        <v>0</v>
      </c>
      <c r="H29" s="42">
        <f>SUM(H24:H28)</f>
        <v>4564.04341304415</v>
      </c>
      <c r="I29" s="42">
        <v>0</v>
      </c>
      <c r="J29" s="42">
        <f>SUM(J24:J28)</f>
        <v>4691.124097353992</v>
      </c>
      <c r="K29" s="42">
        <f>SUM(K24:K28)</f>
        <v>402</v>
      </c>
      <c r="L29" s="42">
        <f>SUM(L24:L28)</f>
        <v>6620</v>
      </c>
      <c r="M29" s="42">
        <v>0</v>
      </c>
      <c r="N29" s="42">
        <v>0</v>
      </c>
      <c r="O29" s="42">
        <v>0</v>
      </c>
      <c r="P29" s="42">
        <f>SUM(P24:P28)</f>
        <v>0</v>
      </c>
      <c r="Q29" s="42">
        <f>SUM(Q24:Q28)</f>
        <v>0</v>
      </c>
      <c r="R29" s="42">
        <f>SUM(R24:R28)</f>
        <v>0</v>
      </c>
      <c r="S29" s="43">
        <f>SUM(S24:S28)</f>
        <v>0</v>
      </c>
    </row>
    <row r="30" ht="12.75">
      <c r="A30" s="12" t="s">
        <v>167</v>
      </c>
    </row>
    <row r="31" ht="12.75">
      <c r="A31" s="12"/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5"/>
      <c r="R42" s="1"/>
      <c r="S42" s="1"/>
    </row>
    <row r="43" spans="17:19" ht="18">
      <c r="Q43" s="5"/>
      <c r="R43" s="1"/>
      <c r="S43" s="1"/>
    </row>
    <row r="44" spans="17:19" ht="18">
      <c r="Q44" s="5"/>
      <c r="R44" s="1"/>
      <c r="S44" s="1"/>
    </row>
    <row r="45" spans="17:19" ht="18">
      <c r="Q45" s="5"/>
      <c r="R45" s="1"/>
      <c r="S45" s="1"/>
    </row>
    <row r="46" spans="17:19" ht="18">
      <c r="Q46" s="6"/>
      <c r="R46" s="1"/>
      <c r="S46" s="1"/>
    </row>
    <row r="47" spans="17:19" ht="18">
      <c r="Q47" s="7"/>
      <c r="R47" s="2"/>
      <c r="S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8" width="11.421875" style="9" customWidth="1"/>
    <col min="9" max="9" width="10.140625" style="9" bestFit="1" customWidth="1"/>
    <col min="10" max="16" width="10.140625" style="12" bestFit="1" customWidth="1"/>
    <col min="17" max="19" width="10.140625" style="0" bestFit="1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54" t="s">
        <v>4</v>
      </c>
      <c r="B2" s="35"/>
      <c r="C2" s="64">
        <f>E2-'[1]Poland'!E2</f>
        <v>0</v>
      </c>
      <c r="D2" s="13">
        <f>F2-'[1]Poland'!F2</f>
        <v>0</v>
      </c>
      <c r="E2" s="149"/>
      <c r="F2" s="13"/>
      <c r="G2" s="8"/>
      <c r="H2" s="13">
        <v>0</v>
      </c>
      <c r="I2" s="13"/>
      <c r="J2" s="13"/>
      <c r="K2" s="13"/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37">
        <v>0</v>
      </c>
    </row>
    <row r="3" spans="1:19" ht="12.75">
      <c r="A3" s="54" t="s">
        <v>33</v>
      </c>
      <c r="B3" s="35"/>
      <c r="C3" s="64">
        <f>E3-'[1]Poland'!E3</f>
        <v>0</v>
      </c>
      <c r="D3" s="13">
        <f>F3-'[1]Poland'!F3</f>
        <v>0</v>
      </c>
      <c r="E3" s="149"/>
      <c r="F3" s="13"/>
      <c r="G3" s="8"/>
      <c r="H3" s="13">
        <v>0</v>
      </c>
      <c r="I3" s="13"/>
      <c r="J3" s="13"/>
      <c r="K3" s="13"/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37">
        <v>1000</v>
      </c>
    </row>
    <row r="4" spans="1:19" ht="12.75">
      <c r="A4" s="27" t="s">
        <v>2</v>
      </c>
      <c r="B4" s="35"/>
      <c r="C4" s="64">
        <f>E4-'[1]Poland'!E4</f>
        <v>0</v>
      </c>
      <c r="D4" s="13">
        <f>F4-'[1]Poland'!F4</f>
        <v>0</v>
      </c>
      <c r="E4" s="149"/>
      <c r="F4" s="13"/>
      <c r="G4" s="8"/>
      <c r="H4" s="13">
        <v>0</v>
      </c>
      <c r="I4" s="13"/>
      <c r="J4" s="13"/>
      <c r="K4" s="13"/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37">
        <v>0</v>
      </c>
    </row>
    <row r="5" spans="1:19" ht="12.75">
      <c r="A5" s="27" t="s">
        <v>9</v>
      </c>
      <c r="B5" s="35">
        <f>(E5-F5)/F5</f>
        <v>0</v>
      </c>
      <c r="C5" s="64">
        <f>E5-'[1]Poland'!E5</f>
        <v>-4000</v>
      </c>
      <c r="D5" s="13">
        <f>F5-'[1]Poland'!F5</f>
        <v>-2000</v>
      </c>
      <c r="E5" s="149">
        <v>1000</v>
      </c>
      <c r="F5" s="13">
        <v>1000</v>
      </c>
      <c r="G5" s="8">
        <v>1000</v>
      </c>
      <c r="H5" s="13">
        <v>2000</v>
      </c>
      <c r="I5" s="13">
        <v>2000</v>
      </c>
      <c r="J5" s="13">
        <v>2000</v>
      </c>
      <c r="K5" s="13">
        <v>2000</v>
      </c>
      <c r="L5" s="13">
        <v>5000</v>
      </c>
      <c r="M5" s="13">
        <v>0</v>
      </c>
      <c r="N5" s="13">
        <v>0</v>
      </c>
      <c r="O5" s="13">
        <v>1000</v>
      </c>
      <c r="P5" s="13">
        <v>10000</v>
      </c>
      <c r="Q5" s="13">
        <v>1000</v>
      </c>
      <c r="R5" s="13">
        <v>0</v>
      </c>
      <c r="S5" s="37">
        <v>2000</v>
      </c>
    </row>
    <row r="6" spans="1:19" ht="12.75">
      <c r="A6" s="27" t="s">
        <v>14</v>
      </c>
      <c r="B6" s="35">
        <f aca="true" t="shared" si="0" ref="B6:B18">(E6-F6)/F6</f>
        <v>1.5</v>
      </c>
      <c r="C6" s="64">
        <f>E6-'[1]Poland'!E6</f>
        <v>-15000</v>
      </c>
      <c r="D6" s="13">
        <f>F6-'[1]Poland'!F6</f>
        <v>-14000</v>
      </c>
      <c r="E6" s="149">
        <v>20000</v>
      </c>
      <c r="F6" s="13">
        <v>8000</v>
      </c>
      <c r="G6" s="8">
        <v>15000</v>
      </c>
      <c r="H6" s="13">
        <v>12000</v>
      </c>
      <c r="I6" s="13">
        <v>12000</v>
      </c>
      <c r="J6" s="13">
        <v>10000</v>
      </c>
      <c r="K6" s="13">
        <v>5000</v>
      </c>
      <c r="L6" s="13">
        <v>5000</v>
      </c>
      <c r="M6" s="13">
        <v>5000</v>
      </c>
      <c r="N6" s="13">
        <v>5000</v>
      </c>
      <c r="O6" s="13">
        <v>0</v>
      </c>
      <c r="P6" s="13">
        <v>0</v>
      </c>
      <c r="Q6" s="13">
        <v>0</v>
      </c>
      <c r="R6" s="13">
        <v>0</v>
      </c>
      <c r="S6" s="37">
        <v>2000</v>
      </c>
    </row>
    <row r="7" spans="1:19" ht="12.75">
      <c r="A7" s="29" t="s">
        <v>3</v>
      </c>
      <c r="B7" s="35">
        <f t="shared" si="0"/>
        <v>1.9166666666666667</v>
      </c>
      <c r="C7" s="64">
        <f>E7-'[1]Poland'!E7</f>
        <v>-15000</v>
      </c>
      <c r="D7" s="13">
        <f>F7-'[1]Poland'!F7</f>
        <v>-23000</v>
      </c>
      <c r="E7" s="149">
        <v>35000</v>
      </c>
      <c r="F7" s="13">
        <v>12000</v>
      </c>
      <c r="G7" s="8">
        <v>30000</v>
      </c>
      <c r="H7" s="13">
        <v>20000</v>
      </c>
      <c r="I7" s="110">
        <v>23000</v>
      </c>
      <c r="J7" s="110">
        <v>25000</v>
      </c>
      <c r="K7" s="110">
        <v>20000</v>
      </c>
      <c r="L7" s="110">
        <v>25000</v>
      </c>
      <c r="M7" s="110">
        <v>8000</v>
      </c>
      <c r="N7" s="110">
        <v>7000</v>
      </c>
      <c r="O7" s="110">
        <v>3000</v>
      </c>
      <c r="P7" s="110">
        <v>16000</v>
      </c>
      <c r="Q7" s="110">
        <v>3000</v>
      </c>
      <c r="R7" s="13">
        <v>0</v>
      </c>
      <c r="S7" s="37">
        <v>8000</v>
      </c>
    </row>
    <row r="8" spans="1:19" ht="12.75">
      <c r="A8" s="29" t="s">
        <v>10</v>
      </c>
      <c r="B8" s="35">
        <f t="shared" si="0"/>
        <v>4</v>
      </c>
      <c r="C8" s="64">
        <f>E8-'[1]Poland'!E8</f>
        <v>-35000</v>
      </c>
      <c r="D8" s="13">
        <f>F8-'[1]Poland'!F8</f>
        <v>-35000</v>
      </c>
      <c r="E8" s="149">
        <v>75000</v>
      </c>
      <c r="F8" s="13">
        <v>15000</v>
      </c>
      <c r="G8" s="8">
        <v>80000</v>
      </c>
      <c r="H8" s="13">
        <v>40000</v>
      </c>
      <c r="I8" s="110">
        <v>60000</v>
      </c>
      <c r="J8" s="110">
        <v>60000</v>
      </c>
      <c r="K8" s="110">
        <v>40000</v>
      </c>
      <c r="L8" s="110">
        <v>40000</v>
      </c>
      <c r="M8" s="110">
        <v>25000</v>
      </c>
      <c r="N8" s="110">
        <v>20000</v>
      </c>
      <c r="O8" s="110">
        <v>6000</v>
      </c>
      <c r="P8" s="110">
        <v>30000</v>
      </c>
      <c r="Q8" s="110">
        <v>18000</v>
      </c>
      <c r="R8" s="13">
        <v>0</v>
      </c>
      <c r="S8" s="37">
        <v>12000</v>
      </c>
    </row>
    <row r="9" spans="1:19" ht="12.75">
      <c r="A9" s="29" t="s">
        <v>27</v>
      </c>
      <c r="B9" s="35">
        <f t="shared" si="0"/>
        <v>6.5</v>
      </c>
      <c r="C9" s="64">
        <f>E9-'[1]Poland'!E9</f>
        <v>-10000</v>
      </c>
      <c r="D9" s="13">
        <f>F9-'[1]Poland'!F9</f>
        <v>-3000</v>
      </c>
      <c r="E9" s="149">
        <v>15000</v>
      </c>
      <c r="F9" s="13">
        <v>2000</v>
      </c>
      <c r="G9" s="8">
        <v>10000</v>
      </c>
      <c r="H9" s="13">
        <v>2000</v>
      </c>
      <c r="I9" s="110">
        <v>10000</v>
      </c>
      <c r="J9" s="110">
        <v>10000</v>
      </c>
      <c r="K9" s="110">
        <v>10000</v>
      </c>
      <c r="L9" s="110">
        <v>10000</v>
      </c>
      <c r="M9" s="110">
        <v>6000</v>
      </c>
      <c r="N9" s="110">
        <v>8000</v>
      </c>
      <c r="O9" s="110">
        <v>2000</v>
      </c>
      <c r="P9" s="110">
        <v>3000</v>
      </c>
      <c r="Q9" s="110">
        <v>200</v>
      </c>
      <c r="R9" s="13">
        <v>0</v>
      </c>
      <c r="S9" s="37">
        <v>0</v>
      </c>
    </row>
    <row r="10" spans="1:19" ht="12.75">
      <c r="A10" s="29" t="s">
        <v>157</v>
      </c>
      <c r="B10" s="35"/>
      <c r="C10" s="64">
        <f>E10-'[1]Poland'!E10</f>
        <v>-20000</v>
      </c>
      <c r="D10" s="13">
        <f>F10-'[1]Poland'!F10</f>
        <v>-3000</v>
      </c>
      <c r="E10" s="149">
        <v>10000</v>
      </c>
      <c r="F10" s="13">
        <v>0</v>
      </c>
      <c r="G10" s="8">
        <v>20000</v>
      </c>
      <c r="H10" s="13">
        <v>10000</v>
      </c>
      <c r="I10" s="110">
        <v>12000</v>
      </c>
      <c r="J10" s="110">
        <v>15000</v>
      </c>
      <c r="K10" s="110">
        <v>12000</v>
      </c>
      <c r="L10" s="110">
        <v>10000</v>
      </c>
      <c r="M10" s="110">
        <v>7000</v>
      </c>
      <c r="N10" s="110">
        <v>10000</v>
      </c>
      <c r="O10" s="110">
        <v>0</v>
      </c>
      <c r="P10" s="110">
        <v>0</v>
      </c>
      <c r="Q10" s="110">
        <v>0</v>
      </c>
      <c r="R10" s="13">
        <v>0</v>
      </c>
      <c r="S10" s="37">
        <v>0</v>
      </c>
    </row>
    <row r="11" spans="1:19" ht="12.75">
      <c r="A11" s="89" t="s">
        <v>34</v>
      </c>
      <c r="B11" s="35"/>
      <c r="C11" s="64">
        <f>E11-'[1]Poland'!E11</f>
        <v>0</v>
      </c>
      <c r="D11" s="13">
        <f>F11-'[1]Poland'!F11</f>
        <v>0</v>
      </c>
      <c r="E11" s="149"/>
      <c r="F11" s="13"/>
      <c r="G11" s="8"/>
      <c r="H11" s="13">
        <v>0</v>
      </c>
      <c r="I11" s="110"/>
      <c r="J11" s="110"/>
      <c r="K11" s="110"/>
      <c r="L11" s="110"/>
      <c r="M11" s="110"/>
      <c r="N11" s="110"/>
      <c r="O11" s="110">
        <v>0</v>
      </c>
      <c r="P11" s="110">
        <v>6000</v>
      </c>
      <c r="Q11" s="110">
        <v>1500</v>
      </c>
      <c r="R11" s="13">
        <v>0</v>
      </c>
      <c r="S11" s="37">
        <v>2000</v>
      </c>
    </row>
    <row r="12" spans="1:19" ht="12.75">
      <c r="A12" s="89" t="s">
        <v>124</v>
      </c>
      <c r="B12" s="35"/>
      <c r="C12" s="64">
        <f>E12-'[1]Poland'!E12</f>
        <v>0</v>
      </c>
      <c r="D12" s="13">
        <f>F12-'[1]Poland'!F12</f>
        <v>0</v>
      </c>
      <c r="E12" s="149"/>
      <c r="F12" s="13"/>
      <c r="G12" s="8"/>
      <c r="H12" s="13">
        <v>0</v>
      </c>
      <c r="I12" s="110"/>
      <c r="J12" s="110"/>
      <c r="K12" s="110"/>
      <c r="L12" s="110"/>
      <c r="M12" s="110"/>
      <c r="N12" s="110"/>
      <c r="O12" s="110">
        <v>0</v>
      </c>
      <c r="P12" s="110">
        <v>0</v>
      </c>
      <c r="Q12" s="110">
        <v>0</v>
      </c>
      <c r="R12" s="13">
        <v>0</v>
      </c>
      <c r="S12" s="37">
        <v>0</v>
      </c>
    </row>
    <row r="13" spans="1:19" ht="12.75">
      <c r="A13" s="89" t="s">
        <v>19</v>
      </c>
      <c r="B13" s="35"/>
      <c r="C13" s="64">
        <f>E13-'[1]Poland'!E13</f>
        <v>-2000</v>
      </c>
      <c r="D13" s="13">
        <f>F13-'[1]Poland'!F13</f>
        <v>0</v>
      </c>
      <c r="E13" s="149">
        <v>1000</v>
      </c>
      <c r="F13" s="13"/>
      <c r="G13" s="8"/>
      <c r="H13" s="13">
        <v>0</v>
      </c>
      <c r="I13" s="110"/>
      <c r="J13" s="110"/>
      <c r="K13" s="110"/>
      <c r="L13" s="110"/>
      <c r="M13" s="110"/>
      <c r="N13" s="110"/>
      <c r="O13" s="110">
        <v>0</v>
      </c>
      <c r="P13" s="110">
        <v>0</v>
      </c>
      <c r="Q13" s="110">
        <v>0</v>
      </c>
      <c r="R13" s="13">
        <v>0</v>
      </c>
      <c r="S13" s="37">
        <v>0</v>
      </c>
    </row>
    <row r="14" spans="1:19" ht="12.75">
      <c r="A14" s="89" t="s">
        <v>136</v>
      </c>
      <c r="B14" s="35">
        <f t="shared" si="0"/>
        <v>1.5</v>
      </c>
      <c r="C14" s="64">
        <f>E14-'[1]Poland'!E14</f>
        <v>-10000</v>
      </c>
      <c r="D14" s="13">
        <f>F14-'[1]Poland'!F14</f>
        <v>-10000</v>
      </c>
      <c r="E14" s="149">
        <v>25000</v>
      </c>
      <c r="F14" s="13">
        <v>10000</v>
      </c>
      <c r="G14" s="8">
        <v>7000</v>
      </c>
      <c r="H14" s="13"/>
      <c r="I14" s="110"/>
      <c r="J14" s="110"/>
      <c r="K14" s="110"/>
      <c r="L14" s="110"/>
      <c r="M14" s="110"/>
      <c r="N14" s="110"/>
      <c r="O14" s="110"/>
      <c r="P14" s="110"/>
      <c r="Q14" s="110"/>
      <c r="R14" s="13"/>
      <c r="S14" s="37"/>
    </row>
    <row r="15" spans="1:19" ht="12.75">
      <c r="A15" s="89" t="s">
        <v>91</v>
      </c>
      <c r="B15" s="35">
        <f t="shared" si="0"/>
        <v>2</v>
      </c>
      <c r="C15" s="64">
        <f>E15-'[1]Poland'!E15</f>
        <v>-20000</v>
      </c>
      <c r="D15" s="13">
        <f>F15-'[1]Poland'!F15</f>
        <v>-10000</v>
      </c>
      <c r="E15" s="149">
        <v>15000</v>
      </c>
      <c r="F15" s="13">
        <v>5000</v>
      </c>
      <c r="G15" s="8">
        <v>45000</v>
      </c>
      <c r="H15" s="13">
        <v>5000</v>
      </c>
      <c r="I15" s="110">
        <v>10000</v>
      </c>
      <c r="J15" s="110">
        <v>10000</v>
      </c>
      <c r="K15" s="110">
        <v>10000</v>
      </c>
      <c r="L15" s="110">
        <v>7000</v>
      </c>
      <c r="M15" s="110">
        <v>4000</v>
      </c>
      <c r="N15" s="110">
        <v>3000</v>
      </c>
      <c r="O15" s="110">
        <v>1000</v>
      </c>
      <c r="P15" s="110">
        <v>2000</v>
      </c>
      <c r="Q15" s="110">
        <v>0</v>
      </c>
      <c r="R15" s="13">
        <v>0</v>
      </c>
      <c r="S15" s="37">
        <v>0</v>
      </c>
    </row>
    <row r="16" spans="1:19" ht="12.75">
      <c r="A16" s="89" t="s">
        <v>35</v>
      </c>
      <c r="B16" s="35"/>
      <c r="C16" s="64">
        <f>E16-'[1]Poland'!E16</f>
        <v>0</v>
      </c>
      <c r="D16" s="13">
        <f>F16-'[1]Poland'!F16</f>
        <v>0</v>
      </c>
      <c r="E16" s="149"/>
      <c r="F16" s="13"/>
      <c r="G16" s="8"/>
      <c r="H16" s="13">
        <v>0</v>
      </c>
      <c r="I16" s="110"/>
      <c r="J16" s="110"/>
      <c r="K16" s="110"/>
      <c r="L16" s="110"/>
      <c r="M16" s="110"/>
      <c r="N16" s="110"/>
      <c r="O16" s="110">
        <v>0</v>
      </c>
      <c r="P16" s="110">
        <v>0</v>
      </c>
      <c r="Q16" s="110">
        <v>0</v>
      </c>
      <c r="R16" s="13">
        <v>0</v>
      </c>
      <c r="S16" s="37">
        <v>0</v>
      </c>
    </row>
    <row r="17" spans="1:19" ht="13.5" thickBot="1">
      <c r="A17" s="30" t="s">
        <v>60</v>
      </c>
      <c r="B17" s="36">
        <f t="shared" si="0"/>
        <v>7</v>
      </c>
      <c r="C17" s="65">
        <f>E17-'[1]Poland'!E17</f>
        <v>-30000</v>
      </c>
      <c r="D17" s="15">
        <f>F17-'[1]Poland'!F17</f>
        <v>-5000</v>
      </c>
      <c r="E17" s="150">
        <v>40000</v>
      </c>
      <c r="F17" s="15">
        <v>5000</v>
      </c>
      <c r="G17" s="15">
        <v>30000</v>
      </c>
      <c r="H17" s="15">
        <v>1000</v>
      </c>
      <c r="I17" s="111">
        <v>15000</v>
      </c>
      <c r="J17" s="111">
        <v>20000</v>
      </c>
      <c r="K17" s="111">
        <v>5000</v>
      </c>
      <c r="L17" s="111">
        <v>10000</v>
      </c>
      <c r="M17" s="111">
        <v>1000</v>
      </c>
      <c r="N17" s="111">
        <v>1000</v>
      </c>
      <c r="O17" s="111">
        <v>2000</v>
      </c>
      <c r="P17" s="111">
        <v>3000</v>
      </c>
      <c r="Q17" s="111">
        <v>1300</v>
      </c>
      <c r="R17" s="15">
        <v>0</v>
      </c>
      <c r="S17" s="39">
        <v>3000</v>
      </c>
    </row>
    <row r="18" spans="1:19" ht="13.5" thickBot="1">
      <c r="A18" s="45" t="s">
        <v>23</v>
      </c>
      <c r="B18" s="41">
        <f t="shared" si="0"/>
        <v>3.086206896551724</v>
      </c>
      <c r="C18" s="66">
        <f>E18-'[1]Poland'!E18</f>
        <v>-161000</v>
      </c>
      <c r="D18" s="42">
        <f>F18-'[1]Poland'!F18</f>
        <v>-105000</v>
      </c>
      <c r="E18" s="135">
        <f>SUM(E2:E17)</f>
        <v>237000</v>
      </c>
      <c r="F18" s="42">
        <f>SUM(F2:F17)</f>
        <v>58000</v>
      </c>
      <c r="G18" s="42">
        <f>SUM(G2:G17)</f>
        <v>238000</v>
      </c>
      <c r="H18" s="42">
        <v>92000</v>
      </c>
      <c r="I18" s="42">
        <f>SUM(I2:I17)</f>
        <v>144000</v>
      </c>
      <c r="J18" s="42">
        <f>SUM(J2:J17)</f>
        <v>152000</v>
      </c>
      <c r="K18" s="42">
        <f>SUM(K2:K17)</f>
        <v>104000</v>
      </c>
      <c r="L18" s="42">
        <f>SUM(L2:L17)</f>
        <v>112000</v>
      </c>
      <c r="M18" s="42">
        <f>SUM(M2:M17)</f>
        <v>56000</v>
      </c>
      <c r="N18" s="42">
        <f aca="true" t="shared" si="1" ref="N18:S18">SUM(N2:N17)</f>
        <v>54000</v>
      </c>
      <c r="O18" s="42">
        <f t="shared" si="1"/>
        <v>15000</v>
      </c>
      <c r="P18" s="42">
        <f t="shared" si="1"/>
        <v>70000</v>
      </c>
      <c r="Q18" s="42">
        <f t="shared" si="1"/>
        <v>25000</v>
      </c>
      <c r="R18" s="42">
        <f t="shared" si="1"/>
        <v>0</v>
      </c>
      <c r="S18" s="43">
        <f t="shared" si="1"/>
        <v>30000</v>
      </c>
    </row>
    <row r="19" spans="2:17" s="9" customFormat="1" ht="12.75">
      <c r="B19" s="44"/>
      <c r="C19" s="44"/>
      <c r="D19" s="44"/>
      <c r="E19" s="44"/>
      <c r="F19" s="44"/>
      <c r="G19" s="44"/>
      <c r="H19" s="44"/>
      <c r="I19" s="44"/>
      <c r="J19" s="12"/>
      <c r="K19" s="12"/>
      <c r="L19" s="12"/>
      <c r="M19" s="12"/>
      <c r="N19" s="12"/>
      <c r="O19" s="12"/>
      <c r="P19" s="12"/>
      <c r="Q19" s="12"/>
    </row>
    <row r="20" spans="2:17" s="9" customFormat="1" ht="13.5" thickBot="1">
      <c r="B20" s="44"/>
      <c r="C20" s="44"/>
      <c r="D20" s="44"/>
      <c r="E20" s="44"/>
      <c r="F20" s="44"/>
      <c r="G20" s="44"/>
      <c r="H20" s="44"/>
      <c r="I20" s="44"/>
      <c r="J20" s="12"/>
      <c r="K20" s="12"/>
      <c r="L20" s="12"/>
      <c r="M20" s="12"/>
      <c r="N20" s="12"/>
      <c r="O20" s="12"/>
      <c r="P20" s="12"/>
      <c r="Q20" s="12"/>
    </row>
    <row r="21" spans="1:19" s="16" customFormat="1" ht="13.5" thickBot="1">
      <c r="A21" s="31" t="s">
        <v>25</v>
      </c>
      <c r="B21" s="32" t="s">
        <v>173</v>
      </c>
      <c r="C21" s="63" t="s">
        <v>172</v>
      </c>
      <c r="D21" s="109" t="s">
        <v>171</v>
      </c>
      <c r="E21" s="148">
        <v>44348</v>
      </c>
      <c r="F21" s="161">
        <v>43983</v>
      </c>
      <c r="G21" s="161">
        <v>43617</v>
      </c>
      <c r="H21" s="161">
        <v>43252</v>
      </c>
      <c r="I21" s="33">
        <v>42887</v>
      </c>
      <c r="J21" s="33">
        <v>42522</v>
      </c>
      <c r="K21" s="33">
        <v>42156</v>
      </c>
      <c r="L21" s="33">
        <v>41791</v>
      </c>
      <c r="M21" s="33">
        <v>41426</v>
      </c>
      <c r="N21" s="33">
        <v>41061</v>
      </c>
      <c r="O21" s="33">
        <v>40695</v>
      </c>
      <c r="P21" s="33">
        <v>40330</v>
      </c>
      <c r="Q21" s="33">
        <v>39965</v>
      </c>
      <c r="R21" s="33">
        <v>39600</v>
      </c>
      <c r="S21" s="34">
        <v>39234</v>
      </c>
    </row>
    <row r="22" spans="1:19" ht="12.75">
      <c r="A22" s="27" t="s">
        <v>7</v>
      </c>
      <c r="B22" s="35"/>
      <c r="C22" s="64">
        <f>E22-'[1]Poland'!E22</f>
        <v>0</v>
      </c>
      <c r="D22" s="13">
        <f>F22-'[1]Poland'!F22</f>
        <v>0</v>
      </c>
      <c r="E22" s="177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37">
        <v>0</v>
      </c>
    </row>
    <row r="23" spans="1:19" ht="12.75">
      <c r="A23" s="54" t="s">
        <v>95</v>
      </c>
      <c r="B23" s="35"/>
      <c r="C23" s="64">
        <f>E23-'[1]Poland'!E23</f>
        <v>0</v>
      </c>
      <c r="D23" s="13">
        <f>F23-'[1]Poland'!F23</f>
        <v>0</v>
      </c>
      <c r="E23" s="177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37">
        <v>0</v>
      </c>
    </row>
    <row r="24" spans="1:19" ht="13.5" thickBot="1">
      <c r="A24" s="38" t="s">
        <v>60</v>
      </c>
      <c r="B24" s="36"/>
      <c r="C24" s="65">
        <f>E24-'[1]Poland'!E24</f>
        <v>0</v>
      </c>
      <c r="D24" s="15">
        <f>F24-'[1]Poland'!F24</f>
        <v>0</v>
      </c>
      <c r="E24" s="178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39">
        <v>0</v>
      </c>
    </row>
    <row r="25" spans="1:19" ht="13.5" thickBot="1">
      <c r="A25" s="40" t="s">
        <v>23</v>
      </c>
      <c r="B25" s="41"/>
      <c r="C25" s="66">
        <f>E25-'[1]Poland'!E25</f>
        <v>0</v>
      </c>
      <c r="D25" s="42">
        <f>F25-'[1]Poland'!F25</f>
        <v>0</v>
      </c>
      <c r="E25" s="179">
        <v>0</v>
      </c>
      <c r="F25" s="42">
        <v>0</v>
      </c>
      <c r="G25" s="42">
        <v>0</v>
      </c>
      <c r="H25" s="42">
        <v>0</v>
      </c>
      <c r="I25" s="42">
        <v>0</v>
      </c>
      <c r="J25" s="42">
        <f>SUM(J22:J24)</f>
        <v>0</v>
      </c>
      <c r="K25" s="42">
        <v>0</v>
      </c>
      <c r="L25" s="42">
        <f>SUM(L22:L24)</f>
        <v>0</v>
      </c>
      <c r="M25" s="42">
        <v>0</v>
      </c>
      <c r="N25" s="42">
        <v>0</v>
      </c>
      <c r="O25" s="42">
        <v>0</v>
      </c>
      <c r="P25" s="42">
        <f>SUM(P22:P24)</f>
        <v>0</v>
      </c>
      <c r="Q25" s="42">
        <f>SUM(Q22:Q24)</f>
        <v>0</v>
      </c>
      <c r="R25" s="42">
        <f>SUM(R22:R24)</f>
        <v>0</v>
      </c>
      <c r="S25" s="43">
        <f>SUM(S22:S24)</f>
        <v>0</v>
      </c>
    </row>
    <row r="27" ht="15.75">
      <c r="A27" s="165" t="s">
        <v>169</v>
      </c>
    </row>
    <row r="28" ht="15.75">
      <c r="A28" s="166"/>
    </row>
    <row r="29" ht="15.75">
      <c r="A29" s="165" t="s">
        <v>170</v>
      </c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6"/>
      <c r="R42" s="1"/>
      <c r="S42" s="1"/>
    </row>
    <row r="43" spans="17:19" ht="18">
      <c r="Q43" s="7"/>
      <c r="R43" s="2"/>
      <c r="S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2.421875" style="0" customWidth="1"/>
    <col min="4" max="5" width="11.8515625" style="0" customWidth="1"/>
    <col min="6" max="8" width="11.8515625" style="9" customWidth="1"/>
    <col min="9" max="9" width="11.00390625" style="9" customWidth="1"/>
    <col min="10" max="16" width="10.8515625" style="0" customWidth="1"/>
    <col min="17" max="17" width="11.140625" style="0" customWidth="1"/>
  </cols>
  <sheetData>
    <row r="1" spans="1:17" ht="13.5" thickBot="1">
      <c r="A1" s="53" t="s">
        <v>93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50">
        <v>39965</v>
      </c>
    </row>
    <row r="2" spans="1:17" ht="12.75">
      <c r="A2" s="54" t="s">
        <v>9</v>
      </c>
      <c r="B2" s="61"/>
      <c r="C2" s="102">
        <f>F2-'[1]Portugal'!E2</f>
        <v>0</v>
      </c>
      <c r="D2" s="91">
        <f>G2-'[1]Portugal'!F2</f>
        <v>0</v>
      </c>
      <c r="E2" s="57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3"/>
    </row>
    <row r="3" spans="1:17" ht="12.75">
      <c r="A3" s="54" t="s">
        <v>149</v>
      </c>
      <c r="B3" s="61"/>
      <c r="C3" s="102">
        <f>F3-'[1]Portugal'!E3</f>
        <v>0</v>
      </c>
      <c r="D3" s="91">
        <f>G3-'[1]Portugal'!F3</f>
        <v>0</v>
      </c>
      <c r="E3" s="57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3"/>
    </row>
    <row r="4" spans="1:17" ht="12.75">
      <c r="A4" s="54" t="s">
        <v>27</v>
      </c>
      <c r="B4" s="61"/>
      <c r="C4" s="102">
        <f>F4-'[1]Portugal'!E4</f>
        <v>0</v>
      </c>
      <c r="D4" s="91">
        <f>G4-'[1]Portugal'!F4</f>
        <v>0</v>
      </c>
      <c r="E4" s="5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3"/>
    </row>
    <row r="5" spans="1:17" ht="12.75">
      <c r="A5" s="54" t="s">
        <v>26</v>
      </c>
      <c r="B5" s="61"/>
      <c r="C5" s="102">
        <f>F5-'[1]Portugal'!E5</f>
        <v>0</v>
      </c>
      <c r="D5" s="91">
        <f>G5-'[1]Portugal'!F5</f>
        <v>0</v>
      </c>
      <c r="E5" s="57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3"/>
    </row>
    <row r="6" spans="1:17" ht="12.75">
      <c r="A6" s="54" t="s">
        <v>19</v>
      </c>
      <c r="B6" s="61"/>
      <c r="C6" s="102">
        <f>F6-'[1]Portugal'!E6</f>
        <v>0</v>
      </c>
      <c r="D6" s="91">
        <f>G6-'[1]Portugal'!F6</f>
        <v>0</v>
      </c>
      <c r="E6" s="57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3"/>
    </row>
    <row r="7" spans="1:17" ht="12.75">
      <c r="A7" s="54" t="s">
        <v>90</v>
      </c>
      <c r="B7" s="61"/>
      <c r="C7" s="102">
        <f>F7-'[1]Portugal'!E7</f>
        <v>0</v>
      </c>
      <c r="D7" s="91">
        <f>G7-'[1]Portugal'!F7</f>
        <v>0</v>
      </c>
      <c r="E7" s="57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1:17" ht="13.5" thickBot="1">
      <c r="A8" s="55" t="s">
        <v>6</v>
      </c>
      <c r="B8" s="62"/>
      <c r="C8" s="102">
        <f>F8-'[1]Portugal'!E8</f>
        <v>0</v>
      </c>
      <c r="D8" s="91">
        <f>G8-'[1]Portugal'!F8</f>
        <v>0</v>
      </c>
      <c r="E8" s="57"/>
      <c r="F8" s="91"/>
      <c r="G8" s="91"/>
      <c r="H8" s="91"/>
      <c r="I8" s="92"/>
      <c r="J8" s="91"/>
      <c r="K8" s="91"/>
      <c r="L8" s="91"/>
      <c r="M8" s="91"/>
      <c r="N8" s="91"/>
      <c r="O8" s="91"/>
      <c r="P8" s="91"/>
      <c r="Q8" s="93"/>
    </row>
    <row r="9" spans="1:17" ht="13.5" thickBot="1">
      <c r="A9" s="56" t="s">
        <v>94</v>
      </c>
      <c r="B9" s="107"/>
      <c r="C9" s="88">
        <f>F9-'[1]Portugal'!E9</f>
        <v>0</v>
      </c>
      <c r="D9" s="122">
        <f>G9-'[1]Portugal'!F9</f>
        <v>0</v>
      </c>
      <c r="E9" s="59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7"/>
    </row>
    <row r="10" spans="4:17" ht="12.75">
      <c r="D10" s="9"/>
      <c r="E10" s="9"/>
      <c r="J10" s="9"/>
      <c r="K10" s="9"/>
      <c r="L10" s="9"/>
      <c r="M10" s="9"/>
      <c r="N10" s="9"/>
      <c r="O10" s="9"/>
      <c r="P10" s="9"/>
      <c r="Q10" s="9"/>
    </row>
    <row r="11" spans="2:17" ht="13.5" thickBot="1">
      <c r="B11" s="3"/>
      <c r="C11" s="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68" t="s">
        <v>93</v>
      </c>
      <c r="B12" s="32" t="s">
        <v>173</v>
      </c>
      <c r="C12" s="63" t="s">
        <v>172</v>
      </c>
      <c r="D12" s="109" t="s">
        <v>171</v>
      </c>
      <c r="E12" s="148">
        <v>44348</v>
      </c>
      <c r="F12" s="161">
        <v>43983</v>
      </c>
      <c r="G12" s="161">
        <v>43617</v>
      </c>
      <c r="H12" s="161">
        <v>43252</v>
      </c>
      <c r="I12" s="33">
        <v>42887</v>
      </c>
      <c r="J12" s="33">
        <v>42522</v>
      </c>
      <c r="K12" s="33">
        <v>42156</v>
      </c>
      <c r="L12" s="33">
        <v>41791</v>
      </c>
      <c r="M12" s="33">
        <v>41426</v>
      </c>
      <c r="N12" s="33">
        <v>41061</v>
      </c>
      <c r="O12" s="33">
        <v>40695</v>
      </c>
      <c r="P12" s="33">
        <v>40330</v>
      </c>
      <c r="Q12" s="50">
        <v>39965</v>
      </c>
    </row>
    <row r="13" spans="1:17" ht="13.5" thickBot="1">
      <c r="A13" s="70" t="s">
        <v>150</v>
      </c>
      <c r="B13" s="71">
        <f>(F13-G13)/G13</f>
        <v>-1</v>
      </c>
      <c r="C13" s="100">
        <f>F13-'[1]Portugal'!E13</f>
        <v>0</v>
      </c>
      <c r="D13" s="96">
        <v>0</v>
      </c>
      <c r="E13" s="72"/>
      <c r="F13" s="96"/>
      <c r="G13" s="174">
        <v>4925</v>
      </c>
      <c r="H13" s="96"/>
      <c r="I13" s="96"/>
      <c r="J13" s="96"/>
      <c r="K13" s="96"/>
      <c r="L13" s="96"/>
      <c r="M13" s="96"/>
      <c r="N13" s="96"/>
      <c r="O13" s="96">
        <v>0</v>
      </c>
      <c r="P13" s="96"/>
      <c r="Q13" s="98"/>
    </row>
    <row r="14" spans="1:17" ht="13.5" thickBot="1">
      <c r="A14" s="68" t="s">
        <v>94</v>
      </c>
      <c r="B14" s="79">
        <f>(F14-G14)/G14</f>
        <v>-1</v>
      </c>
      <c r="C14" s="117">
        <f>F14-'[1]Portugal'!E14</f>
        <v>0</v>
      </c>
      <c r="D14" s="114">
        <v>0</v>
      </c>
      <c r="E14" s="80"/>
      <c r="F14" s="114"/>
      <c r="G14" s="114">
        <v>4925</v>
      </c>
      <c r="H14" s="114"/>
      <c r="I14" s="114"/>
      <c r="J14" s="114"/>
      <c r="K14" s="114"/>
      <c r="L14" s="114"/>
      <c r="M14" s="114"/>
      <c r="N14" s="114"/>
      <c r="O14" s="114">
        <v>0</v>
      </c>
      <c r="P14" s="114"/>
      <c r="Q14" s="132"/>
    </row>
  </sheetData>
  <sheetProtection/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8" width="11.8515625" style="9" customWidth="1"/>
    <col min="9" max="9" width="10.140625" style="9" bestFit="1" customWidth="1"/>
    <col min="10" max="16" width="10.140625" style="12" bestFit="1" customWidth="1"/>
    <col min="17" max="19" width="10.140625" style="0" bestFit="1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27" t="s">
        <v>110</v>
      </c>
      <c r="B2" s="35">
        <f>(E2-F2)/F2</f>
        <v>-0.2087565160647973</v>
      </c>
      <c r="C2" s="64">
        <f>E2-'[1]Spain'!E2</f>
        <v>-2843.076227851621</v>
      </c>
      <c r="D2" s="13">
        <f>F2-'[1]Spain'!F2</f>
        <v>-3882.2930416453587</v>
      </c>
      <c r="E2" s="149">
        <v>3084.015213738608</v>
      </c>
      <c r="F2" s="13">
        <v>3897.6816572320326</v>
      </c>
      <c r="G2" s="13">
        <v>7658</v>
      </c>
      <c r="H2" s="13">
        <v>1507</v>
      </c>
      <c r="I2" s="13">
        <v>7251</v>
      </c>
      <c r="J2" s="13">
        <v>3429</v>
      </c>
      <c r="K2" s="13">
        <v>907.2236275992641</v>
      </c>
      <c r="L2" s="13">
        <v>3375.0312277397443</v>
      </c>
      <c r="M2" s="13">
        <v>210.0175594994846</v>
      </c>
      <c r="N2" s="13">
        <v>1329</v>
      </c>
      <c r="O2" s="13">
        <v>377.73243570814606</v>
      </c>
      <c r="P2" s="13">
        <v>122</v>
      </c>
      <c r="Q2" s="13">
        <v>855</v>
      </c>
      <c r="R2" s="13">
        <v>2835</v>
      </c>
      <c r="S2" s="37">
        <v>928</v>
      </c>
    </row>
    <row r="3" spans="1:19" ht="12.75">
      <c r="A3" s="27" t="s">
        <v>111</v>
      </c>
      <c r="B3" s="35">
        <f aca="true" t="shared" si="0" ref="B3:B8">(E3-F3)/F3</f>
        <v>-1</v>
      </c>
      <c r="C3" s="64">
        <f>E3-'[1]Spain'!E3</f>
        <v>-47.01750594499745</v>
      </c>
      <c r="D3" s="13">
        <f>F3-'[1]Spain'!F3</f>
        <v>-79.6767225898825</v>
      </c>
      <c r="E3" s="149">
        <v>0</v>
      </c>
      <c r="F3" s="13">
        <v>56</v>
      </c>
      <c r="G3" s="13">
        <v>18</v>
      </c>
      <c r="H3" s="13">
        <v>10</v>
      </c>
      <c r="I3" s="13">
        <v>0</v>
      </c>
      <c r="J3" s="13">
        <v>0</v>
      </c>
      <c r="K3" s="13">
        <v>5.358174493495977</v>
      </c>
      <c r="L3" s="13">
        <v>2.177103623356239</v>
      </c>
      <c r="M3" s="13">
        <v>0</v>
      </c>
      <c r="N3" s="13">
        <v>4</v>
      </c>
      <c r="O3" s="13">
        <v>97.81893820631915</v>
      </c>
      <c r="P3" s="13">
        <v>3</v>
      </c>
      <c r="Q3" s="13">
        <v>105</v>
      </c>
      <c r="R3" s="13">
        <v>135</v>
      </c>
      <c r="S3" s="37">
        <v>179</v>
      </c>
    </row>
    <row r="4" spans="1:19" ht="12.75">
      <c r="A4" s="27" t="s">
        <v>112</v>
      </c>
      <c r="B4" s="35">
        <f t="shared" si="0"/>
        <v>-0.4598647100918632</v>
      </c>
      <c r="C4" s="64">
        <f>E4-'[1]Spain'!E4</f>
        <v>-13024.116502242789</v>
      </c>
      <c r="D4" s="13">
        <f>F4-'[1]Spain'!F4</f>
        <v>-20926.837869023133</v>
      </c>
      <c r="E4" s="149">
        <v>26515.781516880343</v>
      </c>
      <c r="F4" s="13">
        <v>49091</v>
      </c>
      <c r="G4" s="13">
        <v>33568</v>
      </c>
      <c r="H4" s="13">
        <v>23499</v>
      </c>
      <c r="I4" s="13">
        <v>53641</v>
      </c>
      <c r="J4" s="13">
        <v>22253</v>
      </c>
      <c r="K4" s="13">
        <v>33268.31799065196</v>
      </c>
      <c r="L4" s="13">
        <v>36702.94171554597</v>
      </c>
      <c r="M4" s="13">
        <v>13425.869082642428</v>
      </c>
      <c r="N4" s="13">
        <v>36829</v>
      </c>
      <c r="O4" s="13">
        <v>23291.367032438306</v>
      </c>
      <c r="P4" s="13">
        <v>24763</v>
      </c>
      <c r="Q4" s="13">
        <v>42081</v>
      </c>
      <c r="R4" s="13">
        <v>39485</v>
      </c>
      <c r="S4" s="37">
        <v>35405</v>
      </c>
    </row>
    <row r="5" spans="1:22" ht="12.75">
      <c r="A5" s="27" t="s">
        <v>17</v>
      </c>
      <c r="B5" s="35">
        <f t="shared" si="0"/>
        <v>-0.17865256576517263</v>
      </c>
      <c r="C5" s="64">
        <f>E5-'[1]Spain'!E5</f>
        <v>-2445.7349366960934</v>
      </c>
      <c r="D5" s="13">
        <f>F5-'[1]Spain'!F5</f>
        <v>-2320.398877003012</v>
      </c>
      <c r="E5" s="149">
        <v>6033.618251889042</v>
      </c>
      <c r="F5" s="13">
        <v>7346</v>
      </c>
      <c r="G5" s="13">
        <v>6039</v>
      </c>
      <c r="H5" s="13">
        <v>4773</v>
      </c>
      <c r="I5" s="13">
        <v>4476</v>
      </c>
      <c r="J5" s="13">
        <v>3875</v>
      </c>
      <c r="K5" s="13">
        <v>2465.316742293162</v>
      </c>
      <c r="L5" s="13">
        <v>1713.754900265148</v>
      </c>
      <c r="M5" s="13">
        <v>964.2998659002766</v>
      </c>
      <c r="N5" s="13">
        <v>1861</v>
      </c>
      <c r="O5" s="13">
        <v>4</v>
      </c>
      <c r="P5" s="13">
        <v>609</v>
      </c>
      <c r="Q5" s="13">
        <v>779</v>
      </c>
      <c r="R5" s="13">
        <v>475</v>
      </c>
      <c r="S5" s="37">
        <v>101</v>
      </c>
      <c r="U5" s="13"/>
      <c r="V5" s="46"/>
    </row>
    <row r="6" spans="1:22" ht="12.75">
      <c r="A6" s="29" t="s">
        <v>19</v>
      </c>
      <c r="B6" s="35">
        <f t="shared" si="0"/>
        <v>-0.3228786918287604</v>
      </c>
      <c r="C6" s="64">
        <f>E6-'[1]Spain'!E6</f>
        <v>-2455.1786146261056</v>
      </c>
      <c r="D6" s="13">
        <f>F6-'[1]Spain'!F6</f>
        <v>-3946.875319102668</v>
      </c>
      <c r="E6" s="149">
        <v>3362.584416378376</v>
      </c>
      <c r="F6" s="13">
        <v>4966</v>
      </c>
      <c r="G6" s="13">
        <v>4594</v>
      </c>
      <c r="H6" s="13">
        <v>1254</v>
      </c>
      <c r="I6" s="110">
        <v>2889</v>
      </c>
      <c r="J6" s="110">
        <v>2896</v>
      </c>
      <c r="K6" s="110">
        <v>1387.8578878095595</v>
      </c>
      <c r="L6" s="110">
        <v>303.8974167647091</v>
      </c>
      <c r="M6" s="110">
        <v>332.62227351140706</v>
      </c>
      <c r="N6" s="110">
        <v>255</v>
      </c>
      <c r="O6" s="110">
        <v>230.01242352734963</v>
      </c>
      <c r="P6" s="110">
        <v>404</v>
      </c>
      <c r="Q6" s="110">
        <v>1647</v>
      </c>
      <c r="R6" s="13">
        <v>2220</v>
      </c>
      <c r="S6" s="37">
        <v>2095</v>
      </c>
      <c r="U6" s="13"/>
      <c r="V6" s="46"/>
    </row>
    <row r="7" spans="1:22" ht="13.5" thickBot="1">
      <c r="A7" s="30" t="s">
        <v>60</v>
      </c>
      <c r="B7" s="36">
        <f t="shared" si="0"/>
        <v>-0.06216610004856726</v>
      </c>
      <c r="C7" s="65">
        <f>E7-'[1]Spain'!E7</f>
        <v>-2180</v>
      </c>
      <c r="D7" s="15">
        <f>F7-'[1]Spain'!F7</f>
        <v>-3683.24</v>
      </c>
      <c r="E7" s="150">
        <v>3862</v>
      </c>
      <c r="F7" s="15">
        <v>4118</v>
      </c>
      <c r="G7" s="15">
        <v>1354</v>
      </c>
      <c r="H7" s="15">
        <v>1500</v>
      </c>
      <c r="I7" s="111">
        <v>1322</v>
      </c>
      <c r="J7" s="111">
        <v>1430</v>
      </c>
      <c r="K7" s="111">
        <v>839.3</v>
      </c>
      <c r="L7" s="111">
        <v>954</v>
      </c>
      <c r="M7" s="111">
        <v>145</v>
      </c>
      <c r="N7" s="111">
        <v>670</v>
      </c>
      <c r="O7" s="111">
        <v>78.5</v>
      </c>
      <c r="P7" s="111">
        <v>48</v>
      </c>
      <c r="Q7" s="111">
        <v>520</v>
      </c>
      <c r="R7" s="15">
        <v>712</v>
      </c>
      <c r="S7" s="39">
        <v>1427</v>
      </c>
      <c r="U7" s="13"/>
      <c r="V7" s="46"/>
    </row>
    <row r="8" spans="1:22" ht="13.5" thickBot="1">
      <c r="A8" s="45" t="s">
        <v>23</v>
      </c>
      <c r="B8" s="41">
        <f t="shared" si="0"/>
        <v>-0.3831134108633223</v>
      </c>
      <c r="C8" s="66">
        <f>E8-'[1]Spain'!E8</f>
        <v>-22995.123787361605</v>
      </c>
      <c r="D8" s="42">
        <f>F8-'[1]Spain'!F8</f>
        <v>-34839.32182936407</v>
      </c>
      <c r="E8" s="135">
        <f>SUM(E2:E7)</f>
        <v>42857.99939888637</v>
      </c>
      <c r="F8" s="42">
        <f>SUM(F2:F7)</f>
        <v>69474.68165723202</v>
      </c>
      <c r="G8" s="42">
        <f>SUM(G2:G7)</f>
        <v>53231</v>
      </c>
      <c r="H8" s="42">
        <f aca="true" t="shared" si="1" ref="H8:M8">SUM(H2:H7)</f>
        <v>32543</v>
      </c>
      <c r="I8" s="42">
        <f t="shared" si="1"/>
        <v>69579</v>
      </c>
      <c r="J8" s="42">
        <f t="shared" si="1"/>
        <v>33883</v>
      </c>
      <c r="K8" s="42">
        <f t="shared" si="1"/>
        <v>38873.37442284744</v>
      </c>
      <c r="L8" s="42">
        <f t="shared" si="1"/>
        <v>43051.80236393893</v>
      </c>
      <c r="M8" s="42">
        <f t="shared" si="1"/>
        <v>15077.808781553598</v>
      </c>
      <c r="N8" s="42">
        <f aca="true" t="shared" si="2" ref="N8:S8">SUM(N2:N7)</f>
        <v>40948</v>
      </c>
      <c r="O8" s="42">
        <f t="shared" si="2"/>
        <v>24079.430829880122</v>
      </c>
      <c r="P8" s="42">
        <f t="shared" si="2"/>
        <v>25949</v>
      </c>
      <c r="Q8" s="42">
        <f t="shared" si="2"/>
        <v>45987</v>
      </c>
      <c r="R8" s="42">
        <f t="shared" si="2"/>
        <v>45862</v>
      </c>
      <c r="S8" s="43">
        <f t="shared" si="2"/>
        <v>40135</v>
      </c>
      <c r="U8" s="13"/>
      <c r="V8" s="46"/>
    </row>
    <row r="9" spans="2:22" s="9" customFormat="1" ht="12.75">
      <c r="B9" s="44"/>
      <c r="C9" s="44"/>
      <c r="D9" s="44"/>
      <c r="E9" s="44"/>
      <c r="F9" s="44"/>
      <c r="G9" s="44"/>
      <c r="H9" s="44"/>
      <c r="I9" s="12"/>
      <c r="J9" s="12"/>
      <c r="K9" s="12"/>
      <c r="L9" s="12"/>
      <c r="M9" s="12"/>
      <c r="N9" s="12"/>
      <c r="O9" s="12"/>
      <c r="P9" s="12"/>
      <c r="Q9" s="12"/>
      <c r="U9" s="13"/>
      <c r="V9" s="46"/>
    </row>
    <row r="10" spans="2:22" s="9" customFormat="1" ht="13.5" thickBot="1">
      <c r="B10" s="44"/>
      <c r="C10" s="44"/>
      <c r="D10" s="44"/>
      <c r="E10" s="44"/>
      <c r="F10" s="44"/>
      <c r="G10" s="44"/>
      <c r="H10" s="44"/>
      <c r="I10" s="12"/>
      <c r="J10" s="12"/>
      <c r="K10" s="12"/>
      <c r="L10" s="12"/>
      <c r="M10" s="12"/>
      <c r="N10" s="12"/>
      <c r="O10" s="12"/>
      <c r="P10" s="12"/>
      <c r="Q10" s="12"/>
      <c r="U10" s="12"/>
      <c r="V10" s="12"/>
    </row>
    <row r="11" spans="1:19" s="16" customFormat="1" ht="13.5" thickBot="1">
      <c r="A11" s="31" t="s">
        <v>25</v>
      </c>
      <c r="B11" s="32" t="s">
        <v>173</v>
      </c>
      <c r="C11" s="63" t="s">
        <v>172</v>
      </c>
      <c r="D11" s="109" t="s">
        <v>171</v>
      </c>
      <c r="E11" s="148">
        <v>44348</v>
      </c>
      <c r="F11" s="161">
        <v>43983</v>
      </c>
      <c r="G11" s="161">
        <v>43617</v>
      </c>
      <c r="H11" s="161">
        <v>43252</v>
      </c>
      <c r="I11" s="33">
        <v>42887</v>
      </c>
      <c r="J11" s="33">
        <v>42522</v>
      </c>
      <c r="K11" s="33">
        <v>42156</v>
      </c>
      <c r="L11" s="33">
        <v>41791</v>
      </c>
      <c r="M11" s="33">
        <v>41426</v>
      </c>
      <c r="N11" s="33">
        <v>41061</v>
      </c>
      <c r="O11" s="33">
        <v>40695</v>
      </c>
      <c r="P11" s="33">
        <v>40330</v>
      </c>
      <c r="Q11" s="33">
        <v>39965</v>
      </c>
      <c r="R11" s="33">
        <v>39600</v>
      </c>
      <c r="S11" s="34">
        <v>39234</v>
      </c>
    </row>
    <row r="12" spans="1:22" ht="12.75">
      <c r="A12" s="27" t="s">
        <v>39</v>
      </c>
      <c r="B12" s="35">
        <f aca="true" t="shared" si="3" ref="B12:B17">(E12-F12)/F12</f>
        <v>-0.04666666666666667</v>
      </c>
      <c r="C12" s="64">
        <f>E12-'[1]Spain'!E12</f>
        <v>-426.4315999673703</v>
      </c>
      <c r="D12" s="13">
        <f>F12-'[1]Spain'!F12</f>
        <v>-231.58372637194446</v>
      </c>
      <c r="E12" s="149">
        <v>143</v>
      </c>
      <c r="F12" s="13">
        <v>150</v>
      </c>
      <c r="G12" s="13">
        <v>29</v>
      </c>
      <c r="H12" s="13">
        <v>104</v>
      </c>
      <c r="I12" s="13">
        <v>216</v>
      </c>
      <c r="J12" s="13">
        <v>16</v>
      </c>
      <c r="K12" s="13">
        <v>2.232572705623324</v>
      </c>
      <c r="L12" s="13">
        <v>230.7729840757613</v>
      </c>
      <c r="M12" s="13">
        <v>0</v>
      </c>
      <c r="N12" s="13">
        <v>690</v>
      </c>
      <c r="O12" s="13">
        <v>73.14487868118259</v>
      </c>
      <c r="P12" s="13">
        <v>137</v>
      </c>
      <c r="Q12" s="13">
        <v>4</v>
      </c>
      <c r="R12" s="13">
        <v>0</v>
      </c>
      <c r="S12" s="37">
        <v>418</v>
      </c>
      <c r="U12" s="16"/>
      <c r="V12" s="16"/>
    </row>
    <row r="13" spans="1:22" ht="12.75">
      <c r="A13" s="27" t="s">
        <v>40</v>
      </c>
      <c r="B13" s="35">
        <f t="shared" si="3"/>
        <v>7.014084507042254</v>
      </c>
      <c r="C13" s="64">
        <f>E13-'[1]Spain'!E13</f>
        <v>-809.2395653683398</v>
      </c>
      <c r="D13" s="13">
        <f>F13-'[1]Spain'!F13</f>
        <v>-64.62027529308193</v>
      </c>
      <c r="E13" s="149">
        <v>569</v>
      </c>
      <c r="F13" s="13">
        <v>71</v>
      </c>
      <c r="G13" s="13">
        <v>66</v>
      </c>
      <c r="H13" s="13">
        <v>105</v>
      </c>
      <c r="I13" s="13">
        <v>0</v>
      </c>
      <c r="J13" s="13">
        <v>71</v>
      </c>
      <c r="K13" s="13">
        <v>28.186230408494467</v>
      </c>
      <c r="L13" s="13">
        <v>303.7168409763121</v>
      </c>
      <c r="M13" s="13">
        <v>5.526777881565384</v>
      </c>
      <c r="N13" s="13">
        <v>188</v>
      </c>
      <c r="O13" s="13">
        <v>405.40028112233256</v>
      </c>
      <c r="P13" s="13">
        <v>534</v>
      </c>
      <c r="Q13" s="13">
        <v>0</v>
      </c>
      <c r="R13" s="13">
        <v>550</v>
      </c>
      <c r="S13" s="37">
        <v>73</v>
      </c>
      <c r="U13" s="13"/>
      <c r="V13" s="46"/>
    </row>
    <row r="14" spans="1:22" ht="12.75">
      <c r="A14" s="27" t="s">
        <v>7</v>
      </c>
      <c r="B14" s="35">
        <f t="shared" si="3"/>
        <v>-0.12357036300348086</v>
      </c>
      <c r="C14" s="64">
        <f>E14-'[1]Spain'!E14</f>
        <v>-7380.834473057768</v>
      </c>
      <c r="D14" s="13">
        <f>F14-'[1]Spain'!F14</f>
        <v>-6852.885301426837</v>
      </c>
      <c r="E14" s="149">
        <v>7050</v>
      </c>
      <c r="F14" s="13">
        <v>8044</v>
      </c>
      <c r="G14" s="13">
        <v>8568</v>
      </c>
      <c r="H14" s="13">
        <v>8030</v>
      </c>
      <c r="I14" s="13">
        <v>4365</v>
      </c>
      <c r="J14" s="13">
        <v>8457</v>
      </c>
      <c r="K14" s="13">
        <v>6660.021126735523</v>
      </c>
      <c r="L14" s="13">
        <v>8320.879162949426</v>
      </c>
      <c r="M14" s="13">
        <v>686.8347944536565</v>
      </c>
      <c r="N14" s="13">
        <v>18382</v>
      </c>
      <c r="O14" s="13">
        <v>9231</v>
      </c>
      <c r="P14" s="13">
        <v>9952</v>
      </c>
      <c r="Q14" s="13">
        <v>6999</v>
      </c>
      <c r="R14" s="13">
        <v>4835</v>
      </c>
      <c r="S14" s="37">
        <v>9807</v>
      </c>
      <c r="U14" s="13"/>
      <c r="V14" s="46"/>
    </row>
    <row r="15" spans="1:22" ht="12.75">
      <c r="A15" s="27" t="s">
        <v>113</v>
      </c>
      <c r="B15" s="35"/>
      <c r="C15" s="64">
        <f>E15-'[1]Spain'!E15</f>
        <v>0</v>
      </c>
      <c r="D15" s="13">
        <f>F15-'[1]Spain'!F15</f>
        <v>0</v>
      </c>
      <c r="E15" s="149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/>
      <c r="R15" s="13"/>
      <c r="S15" s="37"/>
      <c r="U15" s="13"/>
      <c r="V15" s="46"/>
    </row>
    <row r="16" spans="1:22" ht="13.5" thickBot="1">
      <c r="A16" s="38" t="s">
        <v>60</v>
      </c>
      <c r="B16" s="36">
        <f t="shared" si="3"/>
        <v>-0.7706422018348624</v>
      </c>
      <c r="C16" s="65">
        <f>E16-'[1]Spain'!E16</f>
        <v>-238.75462855208855</v>
      </c>
      <c r="D16" s="15">
        <f>F16-'[1]Spain'!F16</f>
        <v>-390.5716912176723</v>
      </c>
      <c r="E16" s="150">
        <v>50</v>
      </c>
      <c r="F16" s="15">
        <v>218</v>
      </c>
      <c r="G16" s="15">
        <v>187</v>
      </c>
      <c r="H16" s="15">
        <v>94</v>
      </c>
      <c r="I16" s="15">
        <v>224</v>
      </c>
      <c r="J16" s="15">
        <v>3</v>
      </c>
      <c r="K16" s="15">
        <v>0</v>
      </c>
      <c r="L16" s="15">
        <v>59.93517482114828</v>
      </c>
      <c r="M16" s="15">
        <v>0</v>
      </c>
      <c r="N16" s="15">
        <v>381</v>
      </c>
      <c r="O16" s="15">
        <v>261</v>
      </c>
      <c r="P16" s="15">
        <v>207</v>
      </c>
      <c r="Q16" s="15">
        <v>93</v>
      </c>
      <c r="R16" s="15">
        <v>335</v>
      </c>
      <c r="S16" s="39">
        <v>126</v>
      </c>
      <c r="U16" s="13"/>
      <c r="V16" s="46"/>
    </row>
    <row r="17" spans="1:22" ht="13.5" thickBot="1">
      <c r="A17" s="40" t="s">
        <v>23</v>
      </c>
      <c r="B17" s="41">
        <f t="shared" si="3"/>
        <v>-0.07909937522103029</v>
      </c>
      <c r="C17" s="66">
        <f>E17-'[1]Spain'!E17</f>
        <v>-8855.260266945566</v>
      </c>
      <c r="D17" s="42">
        <f>F17-'[1]Spain'!F17</f>
        <v>-7539.660994309535</v>
      </c>
      <c r="E17" s="135">
        <f>SUM(E12:E16)</f>
        <v>7812</v>
      </c>
      <c r="F17" s="42">
        <f>SUM(F12:F16)</f>
        <v>8483</v>
      </c>
      <c r="G17" s="42">
        <f>SUM(G12:G16)</f>
        <v>8850</v>
      </c>
      <c r="H17" s="42">
        <f aca="true" t="shared" si="4" ref="H17:M17">SUM(H12:H16)</f>
        <v>8333</v>
      </c>
      <c r="I17" s="42">
        <f t="shared" si="4"/>
        <v>4805</v>
      </c>
      <c r="J17" s="42">
        <f t="shared" si="4"/>
        <v>8547</v>
      </c>
      <c r="K17" s="42">
        <f t="shared" si="4"/>
        <v>6690.43992984964</v>
      </c>
      <c r="L17" s="42">
        <f t="shared" si="4"/>
        <v>8915.304162822647</v>
      </c>
      <c r="M17" s="42">
        <f t="shared" si="4"/>
        <v>692.3615723352219</v>
      </c>
      <c r="N17" s="42">
        <f aca="true" t="shared" si="5" ref="N17:S17">SUM(N12:N16)</f>
        <v>19641</v>
      </c>
      <c r="O17" s="42">
        <f t="shared" si="5"/>
        <v>9970.545159803514</v>
      </c>
      <c r="P17" s="42">
        <f t="shared" si="5"/>
        <v>10830</v>
      </c>
      <c r="Q17" s="42">
        <f t="shared" si="5"/>
        <v>7096</v>
      </c>
      <c r="R17" s="42">
        <f t="shared" si="5"/>
        <v>5720</v>
      </c>
      <c r="S17" s="43">
        <f t="shared" si="5"/>
        <v>10424</v>
      </c>
      <c r="U17" s="13"/>
      <c r="V17" s="46"/>
    </row>
    <row r="18" spans="21:22" ht="12.75">
      <c r="U18" s="16"/>
      <c r="V18" s="16"/>
    </row>
    <row r="19" spans="21:22" ht="12.75">
      <c r="U19" s="16"/>
      <c r="V19" s="16"/>
    </row>
    <row r="20" spans="3:22" ht="13.5">
      <c r="C20" s="140"/>
      <c r="D20" s="138"/>
      <c r="E20" s="138"/>
      <c r="F20" s="139"/>
      <c r="G20" s="139"/>
      <c r="H20" s="139"/>
      <c r="I20" s="139"/>
      <c r="U20" s="16"/>
      <c r="V20" s="16"/>
    </row>
    <row r="21" spans="3:9" ht="13.5">
      <c r="C21" s="137"/>
      <c r="D21" s="138"/>
      <c r="E21" s="138"/>
      <c r="F21" s="139"/>
      <c r="G21" s="139"/>
      <c r="H21" s="139"/>
      <c r="I21" s="139"/>
    </row>
    <row r="22" spans="3:9" ht="13.5">
      <c r="C22" s="52"/>
      <c r="D22" s="138"/>
      <c r="E22" s="138"/>
      <c r="F22" s="139"/>
      <c r="G22" s="139"/>
      <c r="H22" s="139"/>
      <c r="I22" s="139"/>
    </row>
    <row r="23" spans="3:9" ht="13.5">
      <c r="C23" s="137"/>
      <c r="D23" s="138"/>
      <c r="E23" s="138"/>
      <c r="F23" s="139"/>
      <c r="G23" s="139"/>
      <c r="H23" s="139"/>
      <c r="I23" s="139"/>
    </row>
    <row r="24" spans="3:19" ht="18">
      <c r="C24" s="137"/>
      <c r="D24" s="138"/>
      <c r="E24" s="138"/>
      <c r="F24" s="139"/>
      <c r="G24" s="139"/>
      <c r="H24" s="139"/>
      <c r="I24" s="139"/>
      <c r="Q24" s="5"/>
      <c r="R24" s="1"/>
      <c r="S24" s="1"/>
    </row>
    <row r="25" spans="3:19" ht="18">
      <c r="C25" s="137"/>
      <c r="D25" s="138"/>
      <c r="E25" s="138"/>
      <c r="F25" s="139"/>
      <c r="G25" s="139"/>
      <c r="H25" s="139"/>
      <c r="I25" s="139"/>
      <c r="Q25" s="5"/>
      <c r="R25" s="1"/>
      <c r="S25" s="1"/>
    </row>
    <row r="26" spans="3:19" ht="18">
      <c r="C26" s="137"/>
      <c r="D26" s="138"/>
      <c r="E26" s="138"/>
      <c r="F26" s="139"/>
      <c r="G26" s="139"/>
      <c r="H26" s="139"/>
      <c r="I26" s="139"/>
      <c r="Q26" s="5"/>
      <c r="R26" s="1"/>
      <c r="S26" s="1"/>
    </row>
    <row r="27" spans="3:19" ht="18">
      <c r="C27" s="141"/>
      <c r="D27" s="142"/>
      <c r="E27" s="142"/>
      <c r="F27" s="157"/>
      <c r="G27" s="157"/>
      <c r="H27" s="157"/>
      <c r="I27" s="157"/>
      <c r="Q27" s="5"/>
      <c r="R27" s="1"/>
      <c r="S27" s="1"/>
    </row>
    <row r="28" spans="3:19" ht="18">
      <c r="C28" s="137"/>
      <c r="D28" s="138"/>
      <c r="E28" s="138"/>
      <c r="F28" s="139"/>
      <c r="G28" s="139"/>
      <c r="H28" s="139"/>
      <c r="I28" s="139"/>
      <c r="Q28" s="5"/>
      <c r="R28" s="1"/>
      <c r="S28" s="1"/>
    </row>
    <row r="29" spans="3:19" ht="18">
      <c r="C29" s="140"/>
      <c r="D29" s="138"/>
      <c r="E29" s="138"/>
      <c r="F29" s="139"/>
      <c r="G29" s="139"/>
      <c r="H29" s="139"/>
      <c r="I29" s="139"/>
      <c r="Q29" s="5"/>
      <c r="R29" s="1"/>
      <c r="S29" s="1"/>
    </row>
    <row r="30" spans="3:19" ht="18">
      <c r="C30" s="140"/>
      <c r="D30" s="138"/>
      <c r="E30" s="138"/>
      <c r="F30" s="139"/>
      <c r="G30" s="139"/>
      <c r="H30" s="139"/>
      <c r="I30" s="139"/>
      <c r="Q30" s="5"/>
      <c r="R30" s="1"/>
      <c r="S30" s="1"/>
    </row>
    <row r="31" spans="3:19" ht="18">
      <c r="C31" s="137"/>
      <c r="D31" s="138"/>
      <c r="E31" s="138"/>
      <c r="F31" s="139"/>
      <c r="G31" s="139"/>
      <c r="H31" s="139"/>
      <c r="I31" s="139"/>
      <c r="Q31" s="5"/>
      <c r="R31" s="1"/>
      <c r="S31" s="1"/>
    </row>
    <row r="32" spans="3:19" ht="18">
      <c r="C32" s="137"/>
      <c r="D32" s="138"/>
      <c r="E32" s="138"/>
      <c r="F32" s="139"/>
      <c r="G32" s="139"/>
      <c r="H32" s="139"/>
      <c r="I32" s="139"/>
      <c r="Q32" s="5"/>
      <c r="R32" s="1"/>
      <c r="S32" s="1"/>
    </row>
    <row r="33" spans="3:19" ht="18">
      <c r="C33" s="137"/>
      <c r="D33" s="138"/>
      <c r="E33" s="138"/>
      <c r="F33" s="139"/>
      <c r="G33" s="139"/>
      <c r="H33" s="139"/>
      <c r="I33" s="139"/>
      <c r="Q33" s="5"/>
      <c r="R33" s="1"/>
      <c r="S33" s="1"/>
    </row>
    <row r="34" spans="3:19" ht="18">
      <c r="C34" s="137"/>
      <c r="D34" s="138"/>
      <c r="E34" s="138"/>
      <c r="F34" s="139"/>
      <c r="G34" s="139"/>
      <c r="H34" s="139"/>
      <c r="I34" s="139"/>
      <c r="Q34" s="6"/>
      <c r="R34" s="1"/>
      <c r="S34" s="1"/>
    </row>
    <row r="35" spans="3:19" ht="18">
      <c r="C35" s="137"/>
      <c r="D35" s="138"/>
      <c r="E35" s="138"/>
      <c r="F35" s="139"/>
      <c r="G35" s="139"/>
      <c r="H35" s="139"/>
      <c r="I35" s="139"/>
      <c r="Q35" s="7"/>
      <c r="R35" s="2"/>
      <c r="S35" s="2"/>
    </row>
    <row r="36" spans="3:9" ht="13.5">
      <c r="C36" s="141"/>
      <c r="D36" s="142"/>
      <c r="E36" s="142"/>
      <c r="F36" s="157"/>
      <c r="G36" s="157"/>
      <c r="H36" s="157"/>
      <c r="I36" s="157"/>
    </row>
    <row r="37" spans="3:9" ht="12.75">
      <c r="C37" s="16"/>
      <c r="D37" s="12"/>
      <c r="E37" s="12"/>
      <c r="F37" s="12"/>
      <c r="G37" s="12"/>
      <c r="H37" s="12"/>
      <c r="I37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8" width="12.00390625" style="9" customWidth="1"/>
    <col min="9" max="9" width="10.140625" style="9" bestFit="1" customWidth="1"/>
    <col min="10" max="16" width="10.140625" style="16" bestFit="1" customWidth="1"/>
    <col min="17" max="19" width="10.140625" style="0" bestFit="1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27" t="s">
        <v>4</v>
      </c>
      <c r="B2" s="35"/>
      <c r="C2" s="64">
        <f>E2-'[1]Switzerland'!E2</f>
        <v>0</v>
      </c>
      <c r="D2" s="13">
        <f>F2-'[1]Switzerland'!F2</f>
        <v>0</v>
      </c>
      <c r="E2" s="149">
        <v>0</v>
      </c>
      <c r="F2" s="13"/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37">
        <v>0</v>
      </c>
    </row>
    <row r="3" spans="1:19" ht="12.75">
      <c r="A3" s="27" t="s">
        <v>11</v>
      </c>
      <c r="B3" s="35">
        <f>(E3-F3)/F3</f>
        <v>1.9036697247706422</v>
      </c>
      <c r="C3" s="64">
        <f>E3-'[1]Switzerland'!E3</f>
        <v>-1171</v>
      </c>
      <c r="D3" s="13">
        <f>F3-'[1]Switzerland'!F3</f>
        <v>-1237</v>
      </c>
      <c r="E3" s="149">
        <v>1899</v>
      </c>
      <c r="F3" s="13">
        <v>654</v>
      </c>
      <c r="G3" s="13">
        <v>2494</v>
      </c>
      <c r="H3" s="13">
        <v>13</v>
      </c>
      <c r="I3" s="13">
        <v>1132</v>
      </c>
      <c r="J3" s="13">
        <v>1057</v>
      </c>
      <c r="K3" s="13">
        <v>1207</v>
      </c>
      <c r="L3" s="13">
        <v>1790</v>
      </c>
      <c r="M3" s="13">
        <v>578</v>
      </c>
      <c r="N3" s="13">
        <v>862</v>
      </c>
      <c r="O3" s="13">
        <v>193</v>
      </c>
      <c r="P3" s="13">
        <v>339</v>
      </c>
      <c r="Q3" s="13">
        <v>46</v>
      </c>
      <c r="R3" s="13">
        <v>35</v>
      </c>
      <c r="S3" s="37">
        <v>13</v>
      </c>
    </row>
    <row r="4" spans="1:19" ht="12.75">
      <c r="A4" s="27" t="s">
        <v>5</v>
      </c>
      <c r="B4" s="35"/>
      <c r="C4" s="64">
        <f>E4-'[1]Switzerland'!E4</f>
        <v>0</v>
      </c>
      <c r="D4" s="13">
        <f>F4-'[1]Switzerland'!F4</f>
        <v>0</v>
      </c>
      <c r="E4" s="149">
        <v>0</v>
      </c>
      <c r="F4" s="13"/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37">
        <v>0</v>
      </c>
    </row>
    <row r="5" spans="1:19" ht="12.75">
      <c r="A5" s="27" t="s">
        <v>2</v>
      </c>
      <c r="B5" s="35"/>
      <c r="C5" s="64">
        <f>E5-'[1]Switzerland'!E5</f>
        <v>0</v>
      </c>
      <c r="D5" s="13">
        <f>F5-'[1]Switzerland'!F5</f>
        <v>0</v>
      </c>
      <c r="E5" s="149">
        <v>0</v>
      </c>
      <c r="F5" s="13"/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37">
        <v>0</v>
      </c>
    </row>
    <row r="6" spans="1:19" ht="12.75">
      <c r="A6" s="27" t="s">
        <v>9</v>
      </c>
      <c r="B6" s="35">
        <f aca="true" t="shared" si="0" ref="B6:B19">(E6-F6)/F6</f>
        <v>0.2439232409381663</v>
      </c>
      <c r="C6" s="64">
        <f>E6-'[1]Switzerland'!E6</f>
        <v>-2817</v>
      </c>
      <c r="D6" s="13">
        <f>F6-'[1]Switzerland'!F6</f>
        <v>-2773</v>
      </c>
      <c r="E6" s="149">
        <v>5834</v>
      </c>
      <c r="F6" s="13">
        <v>4690</v>
      </c>
      <c r="G6" s="13">
        <v>5021</v>
      </c>
      <c r="H6" s="13">
        <v>181</v>
      </c>
      <c r="I6" s="13">
        <v>2133</v>
      </c>
      <c r="J6" s="13">
        <v>3838</v>
      </c>
      <c r="K6" s="13">
        <v>2294</v>
      </c>
      <c r="L6" s="13">
        <v>3866</v>
      </c>
      <c r="M6" s="13">
        <v>1891</v>
      </c>
      <c r="N6" s="13">
        <v>4932</v>
      </c>
      <c r="O6" s="13">
        <v>2980</v>
      </c>
      <c r="P6" s="13">
        <v>2555</v>
      </c>
      <c r="Q6" s="13">
        <v>152</v>
      </c>
      <c r="R6" s="13">
        <v>2059</v>
      </c>
      <c r="S6" s="37">
        <v>642</v>
      </c>
    </row>
    <row r="7" spans="1:19" ht="12.75">
      <c r="A7" s="27" t="s">
        <v>114</v>
      </c>
      <c r="B7" s="35"/>
      <c r="C7" s="64">
        <f>E7-'[1]Switzerland'!E7</f>
        <v>-7</v>
      </c>
      <c r="D7" s="13">
        <f>F7-'[1]Switzerland'!F7</f>
        <v>-3</v>
      </c>
      <c r="E7" s="149">
        <v>0</v>
      </c>
      <c r="F7" s="13"/>
      <c r="G7" s="13">
        <v>39</v>
      </c>
      <c r="H7" s="13">
        <v>0</v>
      </c>
      <c r="I7" s="13">
        <v>27</v>
      </c>
      <c r="J7" s="13">
        <v>18</v>
      </c>
      <c r="K7" s="13">
        <v>10</v>
      </c>
      <c r="L7" s="13">
        <v>11</v>
      </c>
      <c r="M7" s="13">
        <v>11</v>
      </c>
      <c r="N7" s="13">
        <v>14</v>
      </c>
      <c r="O7" s="13">
        <v>259</v>
      </c>
      <c r="P7" s="13">
        <v>0</v>
      </c>
      <c r="Q7" s="13">
        <v>122</v>
      </c>
      <c r="R7" s="13">
        <v>50</v>
      </c>
      <c r="S7" s="37">
        <v>27</v>
      </c>
    </row>
    <row r="8" spans="1:19" ht="12.75">
      <c r="A8" s="29" t="s">
        <v>3</v>
      </c>
      <c r="B8" s="35">
        <f t="shared" si="0"/>
        <v>-0.03742550655542312</v>
      </c>
      <c r="C8" s="64">
        <f>E8-'[1]Switzerland'!E8</f>
        <v>-1051</v>
      </c>
      <c r="D8" s="13">
        <f>F8-'[1]Switzerland'!F8</f>
        <v>-1415</v>
      </c>
      <c r="E8" s="149">
        <v>4038</v>
      </c>
      <c r="F8" s="13">
        <v>4195</v>
      </c>
      <c r="G8" s="13">
        <v>4443</v>
      </c>
      <c r="H8" s="13">
        <v>2317</v>
      </c>
      <c r="I8" s="110">
        <v>6398</v>
      </c>
      <c r="J8" s="110">
        <v>4562</v>
      </c>
      <c r="K8" s="110">
        <v>5854</v>
      </c>
      <c r="L8" s="110">
        <v>4195</v>
      </c>
      <c r="M8" s="110">
        <v>6408</v>
      </c>
      <c r="N8" s="110">
        <v>6530</v>
      </c>
      <c r="O8" s="110">
        <v>7032</v>
      </c>
      <c r="P8" s="110">
        <v>8251</v>
      </c>
      <c r="Q8" s="110">
        <v>8023</v>
      </c>
      <c r="R8" s="13">
        <v>7127</v>
      </c>
      <c r="S8" s="37">
        <v>9014</v>
      </c>
    </row>
    <row r="9" spans="1:19" ht="12.75">
      <c r="A9" s="29" t="s">
        <v>17</v>
      </c>
      <c r="B9" s="35"/>
      <c r="C9" s="64">
        <f>E9-'[1]Switzerland'!E9</f>
        <v>-9</v>
      </c>
      <c r="D9" s="13">
        <f>F9-'[1]Switzerland'!F9</f>
        <v>0</v>
      </c>
      <c r="E9" s="149">
        <v>0</v>
      </c>
      <c r="F9" s="13"/>
      <c r="G9" s="13">
        <v>24</v>
      </c>
      <c r="H9" s="13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10</v>
      </c>
      <c r="P9" s="110">
        <v>0</v>
      </c>
      <c r="Q9" s="110">
        <v>0</v>
      </c>
      <c r="R9" s="13">
        <v>0</v>
      </c>
      <c r="S9" s="37">
        <v>0</v>
      </c>
    </row>
    <row r="10" spans="1:19" ht="12.75">
      <c r="A10" s="29" t="s">
        <v>10</v>
      </c>
      <c r="B10" s="35">
        <f t="shared" si="0"/>
        <v>1.6</v>
      </c>
      <c r="C10" s="64">
        <f>E10-'[1]Switzerland'!E10</f>
        <v>-190</v>
      </c>
      <c r="D10" s="13">
        <f>F10-'[1]Switzerland'!F10</f>
        <v>-13</v>
      </c>
      <c r="E10" s="149">
        <v>65</v>
      </c>
      <c r="F10" s="13">
        <v>25</v>
      </c>
      <c r="G10" s="13">
        <v>167</v>
      </c>
      <c r="H10" s="13">
        <v>0</v>
      </c>
      <c r="I10" s="110">
        <v>118</v>
      </c>
      <c r="J10" s="110">
        <v>451</v>
      </c>
      <c r="K10" s="110">
        <v>342</v>
      </c>
      <c r="L10" s="110">
        <v>684</v>
      </c>
      <c r="M10" s="110">
        <v>341</v>
      </c>
      <c r="N10" s="110">
        <v>276</v>
      </c>
      <c r="O10" s="110">
        <v>1351</v>
      </c>
      <c r="P10" s="110">
        <v>875</v>
      </c>
      <c r="Q10" s="110">
        <v>1011</v>
      </c>
      <c r="R10" s="13">
        <v>339</v>
      </c>
      <c r="S10" s="37">
        <v>1100</v>
      </c>
    </row>
    <row r="11" spans="1:19" ht="12.75">
      <c r="A11" s="29" t="s">
        <v>27</v>
      </c>
      <c r="B11" s="35">
        <f t="shared" si="0"/>
        <v>-0.11552346570397112</v>
      </c>
      <c r="C11" s="64">
        <f>E11-'[1]Switzerland'!E11</f>
        <v>-151</v>
      </c>
      <c r="D11" s="13">
        <f>F11-'[1]Switzerland'!F11</f>
        <v>-373</v>
      </c>
      <c r="E11" s="149">
        <v>490</v>
      </c>
      <c r="F11" s="13">
        <v>554</v>
      </c>
      <c r="G11" s="13">
        <v>1207</v>
      </c>
      <c r="H11" s="13">
        <v>0</v>
      </c>
      <c r="I11" s="110">
        <v>1555</v>
      </c>
      <c r="J11" s="110">
        <v>1046</v>
      </c>
      <c r="K11" s="110">
        <v>1261</v>
      </c>
      <c r="L11" s="110">
        <v>1336</v>
      </c>
      <c r="M11" s="110">
        <v>1186</v>
      </c>
      <c r="N11" s="110">
        <v>1819</v>
      </c>
      <c r="O11" s="110">
        <v>1251</v>
      </c>
      <c r="P11" s="110">
        <v>1467</v>
      </c>
      <c r="Q11" s="110">
        <v>1401</v>
      </c>
      <c r="R11" s="13">
        <v>1146</v>
      </c>
      <c r="S11" s="37">
        <v>1394</v>
      </c>
    </row>
    <row r="12" spans="1:19" ht="12.75">
      <c r="A12" s="29" t="s">
        <v>115</v>
      </c>
      <c r="B12" s="35"/>
      <c r="C12" s="64">
        <f>E12-'[1]Switzerland'!E12</f>
        <v>-2</v>
      </c>
      <c r="D12" s="13">
        <f>F12-'[1]Switzerland'!F12</f>
        <v>0</v>
      </c>
      <c r="E12" s="149">
        <v>0</v>
      </c>
      <c r="F12" s="13"/>
      <c r="G12" s="13">
        <v>73</v>
      </c>
      <c r="H12" s="13">
        <v>0</v>
      </c>
      <c r="I12" s="110">
        <v>4</v>
      </c>
      <c r="J12" s="110">
        <v>0</v>
      </c>
      <c r="K12" s="110">
        <v>24</v>
      </c>
      <c r="L12" s="110">
        <v>51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3">
        <v>0</v>
      </c>
      <c r="S12" s="37">
        <v>16</v>
      </c>
    </row>
    <row r="13" spans="1:19" ht="12.75">
      <c r="A13" s="29" t="s">
        <v>116</v>
      </c>
      <c r="B13" s="35"/>
      <c r="C13" s="64">
        <f>E13-'[1]Switzerland'!E13</f>
        <v>-44</v>
      </c>
      <c r="D13" s="13">
        <f>F13-'[1]Switzerland'!F13</f>
        <v>-16</v>
      </c>
      <c r="E13" s="149">
        <v>38</v>
      </c>
      <c r="F13" s="13"/>
      <c r="G13" s="13">
        <v>132</v>
      </c>
      <c r="H13" s="13">
        <v>0</v>
      </c>
      <c r="I13" s="110">
        <v>110</v>
      </c>
      <c r="J13" s="110">
        <v>101</v>
      </c>
      <c r="K13" s="110">
        <v>427</v>
      </c>
      <c r="L13" s="110">
        <v>375</v>
      </c>
      <c r="M13" s="110">
        <v>610</v>
      </c>
      <c r="N13" s="110">
        <v>859</v>
      </c>
      <c r="O13" s="110">
        <v>2133</v>
      </c>
      <c r="P13" s="110">
        <v>1891</v>
      </c>
      <c r="Q13" s="110">
        <v>1237</v>
      </c>
      <c r="R13" s="13">
        <v>1292</v>
      </c>
      <c r="S13" s="37">
        <v>3290</v>
      </c>
    </row>
    <row r="14" spans="1:19" ht="12.75">
      <c r="A14" s="29" t="s">
        <v>13</v>
      </c>
      <c r="B14" s="35"/>
      <c r="C14" s="64">
        <f>E14-'[1]Switzerland'!E14</f>
        <v>-72</v>
      </c>
      <c r="D14" s="13">
        <f>F14-'[1]Switzerland'!F14</f>
        <v>-5</v>
      </c>
      <c r="E14" s="149">
        <v>47</v>
      </c>
      <c r="F14" s="13"/>
      <c r="G14" s="13">
        <v>34</v>
      </c>
      <c r="H14" s="13">
        <v>0</v>
      </c>
      <c r="I14" s="110">
        <v>32</v>
      </c>
      <c r="J14" s="110">
        <v>9</v>
      </c>
      <c r="K14" s="110">
        <v>5</v>
      </c>
      <c r="L14" s="110">
        <v>157</v>
      </c>
      <c r="M14" s="110">
        <v>231</v>
      </c>
      <c r="N14" s="110">
        <v>358</v>
      </c>
      <c r="O14" s="110">
        <v>173</v>
      </c>
      <c r="P14" s="110">
        <v>160</v>
      </c>
      <c r="Q14" s="110">
        <v>67</v>
      </c>
      <c r="R14" s="13">
        <v>41</v>
      </c>
      <c r="S14" s="37">
        <v>43</v>
      </c>
    </row>
    <row r="15" spans="1:19" ht="12.75">
      <c r="A15" s="29" t="s">
        <v>117</v>
      </c>
      <c r="B15" s="35"/>
      <c r="C15" s="64">
        <f>E15-'[1]Switzerland'!E15</f>
        <v>0</v>
      </c>
      <c r="D15" s="13">
        <f>F15-'[1]Switzerland'!F15</f>
        <v>0</v>
      </c>
      <c r="E15" s="149">
        <v>0</v>
      </c>
      <c r="F15" s="13"/>
      <c r="G15" s="13">
        <v>0</v>
      </c>
      <c r="H15" s="13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3">
        <v>0</v>
      </c>
      <c r="S15" s="37">
        <v>0</v>
      </c>
    </row>
    <row r="16" spans="1:19" ht="12.75">
      <c r="A16" s="29" t="s">
        <v>98</v>
      </c>
      <c r="B16" s="35"/>
      <c r="C16" s="64">
        <f>E16-'[1]Switzerland'!E16</f>
        <v>-31</v>
      </c>
      <c r="D16" s="13">
        <f>F16-'[1]Switzerland'!F16</f>
        <v>-1</v>
      </c>
      <c r="E16" s="149">
        <v>26</v>
      </c>
      <c r="F16" s="13"/>
      <c r="G16" s="13">
        <v>65</v>
      </c>
      <c r="H16" s="13">
        <v>0</v>
      </c>
      <c r="I16" s="110">
        <v>13</v>
      </c>
      <c r="J16" s="110">
        <v>8</v>
      </c>
      <c r="K16" s="110">
        <v>14</v>
      </c>
      <c r="L16" s="110">
        <v>132.5</v>
      </c>
      <c r="M16" s="110">
        <v>5</v>
      </c>
      <c r="N16" s="110">
        <v>89</v>
      </c>
      <c r="O16" s="110">
        <v>111</v>
      </c>
      <c r="P16" s="110">
        <v>56</v>
      </c>
      <c r="Q16" s="110">
        <v>32</v>
      </c>
      <c r="R16" s="13">
        <v>28</v>
      </c>
      <c r="S16" s="37">
        <v>17</v>
      </c>
    </row>
    <row r="17" spans="1:19" ht="12.75">
      <c r="A17" s="54" t="s">
        <v>89</v>
      </c>
      <c r="B17" s="35">
        <f t="shared" si="0"/>
        <v>0.35997482693517935</v>
      </c>
      <c r="C17" s="64">
        <f>E17-'[1]Switzerland'!E17</f>
        <v>-1344</v>
      </c>
      <c r="D17" s="13">
        <f>F17-'[1]Switzerland'!F17</f>
        <v>-1009</v>
      </c>
      <c r="E17" s="149">
        <v>2161</v>
      </c>
      <c r="F17" s="13">
        <v>1589</v>
      </c>
      <c r="G17" s="13">
        <v>3272</v>
      </c>
      <c r="H17" s="13">
        <v>532</v>
      </c>
      <c r="I17" s="110">
        <v>1891</v>
      </c>
      <c r="J17" s="110">
        <v>1910</v>
      </c>
      <c r="K17" s="110">
        <v>2971</v>
      </c>
      <c r="L17" s="110">
        <v>2832</v>
      </c>
      <c r="M17" s="110">
        <v>1061</v>
      </c>
      <c r="N17" s="110">
        <v>1571</v>
      </c>
      <c r="O17" s="110">
        <v>226</v>
      </c>
      <c r="P17" s="110">
        <f>3+17+481</f>
        <v>501</v>
      </c>
      <c r="Q17" s="110">
        <v>132</v>
      </c>
      <c r="R17" s="13">
        <v>113</v>
      </c>
      <c r="S17" s="37">
        <v>27</v>
      </c>
    </row>
    <row r="18" spans="1:19" ht="13.5" thickBot="1">
      <c r="A18" s="30" t="s">
        <v>60</v>
      </c>
      <c r="B18" s="36">
        <f t="shared" si="0"/>
        <v>1.3955555555555557</v>
      </c>
      <c r="C18" s="65">
        <f>E18-'[1]Switzerland'!E18</f>
        <v>-610</v>
      </c>
      <c r="D18" s="15">
        <f>F18-'[1]Switzerland'!F18</f>
        <v>-422</v>
      </c>
      <c r="E18" s="150">
        <v>1078</v>
      </c>
      <c r="F18" s="15">
        <v>450</v>
      </c>
      <c r="G18" s="15">
        <f>297+248+1712</f>
        <v>2257</v>
      </c>
      <c r="H18" s="15">
        <v>76</v>
      </c>
      <c r="I18" s="111">
        <v>1220</v>
      </c>
      <c r="J18" s="111">
        <v>313</v>
      </c>
      <c r="K18" s="111">
        <v>278</v>
      </c>
      <c r="L18" s="111">
        <v>475.5</v>
      </c>
      <c r="M18" s="111">
        <v>53</v>
      </c>
      <c r="N18" s="111">
        <v>276</v>
      </c>
      <c r="O18" s="111">
        <v>78</v>
      </c>
      <c r="P18" s="111">
        <v>177</v>
      </c>
      <c r="Q18" s="111">
        <v>88</v>
      </c>
      <c r="R18" s="15">
        <v>172</v>
      </c>
      <c r="S18" s="39">
        <v>68</v>
      </c>
    </row>
    <row r="19" spans="1:19" ht="13.5" thickBot="1">
      <c r="A19" s="45" t="s">
        <v>23</v>
      </c>
      <c r="B19" s="41">
        <f t="shared" si="0"/>
        <v>0.28946286090318335</v>
      </c>
      <c r="C19" s="66">
        <f>E19-'[1]Switzerland'!E19</f>
        <v>-7499</v>
      </c>
      <c r="D19" s="42">
        <f>F19-'[1]Switzerland'!F19</f>
        <v>-7267</v>
      </c>
      <c r="E19" s="135">
        <f>SUM(E2:E18)</f>
        <v>15676</v>
      </c>
      <c r="F19" s="42">
        <f>SUM(F2:F18)</f>
        <v>12157</v>
      </c>
      <c r="G19" s="42">
        <f>SUM(G2:G18)</f>
        <v>19228</v>
      </c>
      <c r="H19" s="42">
        <f aca="true" t="shared" si="1" ref="H19:M19">SUM(H2:H18)</f>
        <v>3119</v>
      </c>
      <c r="I19" s="42">
        <f t="shared" si="1"/>
        <v>14633</v>
      </c>
      <c r="J19" s="42">
        <f t="shared" si="1"/>
        <v>13313</v>
      </c>
      <c r="K19" s="42">
        <f t="shared" si="1"/>
        <v>14687</v>
      </c>
      <c r="L19" s="42">
        <f t="shared" si="1"/>
        <v>15905</v>
      </c>
      <c r="M19" s="42">
        <f t="shared" si="1"/>
        <v>12375</v>
      </c>
      <c r="N19" s="42">
        <f aca="true" t="shared" si="2" ref="N19:S19">SUM(N2:N18)</f>
        <v>17586</v>
      </c>
      <c r="O19" s="42">
        <f t="shared" si="2"/>
        <v>15797</v>
      </c>
      <c r="P19" s="42">
        <f t="shared" si="2"/>
        <v>16272</v>
      </c>
      <c r="Q19" s="42">
        <f t="shared" si="2"/>
        <v>12311</v>
      </c>
      <c r="R19" s="42">
        <f t="shared" si="2"/>
        <v>12402</v>
      </c>
      <c r="S19" s="43">
        <f t="shared" si="2"/>
        <v>15651</v>
      </c>
    </row>
    <row r="20" spans="2:17" s="9" customFormat="1" ht="12.75">
      <c r="B20" s="44"/>
      <c r="C20" s="44"/>
      <c r="D20" s="44"/>
      <c r="E20" s="44"/>
      <c r="F20" s="44"/>
      <c r="G20" s="44"/>
      <c r="H20" s="44"/>
      <c r="I20" s="12"/>
      <c r="J20" s="12"/>
      <c r="K20" s="12"/>
      <c r="L20" s="12"/>
      <c r="M20" s="12"/>
      <c r="N20" s="12"/>
      <c r="O20" s="12"/>
      <c r="P20" s="12"/>
      <c r="Q20" s="12"/>
    </row>
    <row r="21" spans="2:17" s="9" customFormat="1" ht="13.5" thickBot="1">
      <c r="B21" s="44"/>
      <c r="C21" s="44"/>
      <c r="D21" s="44"/>
      <c r="E21" s="44"/>
      <c r="F21" s="44"/>
      <c r="G21" s="44"/>
      <c r="H21" s="44"/>
      <c r="I21" s="12"/>
      <c r="J21" s="12"/>
      <c r="K21" s="12"/>
      <c r="L21" s="12"/>
      <c r="M21" s="12"/>
      <c r="N21" s="12"/>
      <c r="O21" s="12"/>
      <c r="P21" s="12"/>
      <c r="Q21" s="12"/>
    </row>
    <row r="22" spans="1:19" s="16" customFormat="1" ht="13.5" thickBot="1">
      <c r="A22" s="31" t="s">
        <v>25</v>
      </c>
      <c r="B22" s="32" t="s">
        <v>173</v>
      </c>
      <c r="C22" s="63" t="s">
        <v>172</v>
      </c>
      <c r="D22" s="109" t="s">
        <v>171</v>
      </c>
      <c r="E22" s="148">
        <v>44348</v>
      </c>
      <c r="F22" s="161">
        <v>43983</v>
      </c>
      <c r="G22" s="161">
        <v>43617</v>
      </c>
      <c r="H22" s="161">
        <v>43252</v>
      </c>
      <c r="I22" s="33">
        <v>42887</v>
      </c>
      <c r="J22" s="33">
        <v>42522</v>
      </c>
      <c r="K22" s="33">
        <v>42156</v>
      </c>
      <c r="L22" s="33">
        <v>41791</v>
      </c>
      <c r="M22" s="33">
        <v>41426</v>
      </c>
      <c r="N22" s="33">
        <v>41061</v>
      </c>
      <c r="O22" s="33">
        <v>40695</v>
      </c>
      <c r="P22" s="33">
        <v>40330</v>
      </c>
      <c r="Q22" s="33">
        <v>39965</v>
      </c>
      <c r="R22" s="33">
        <v>39600</v>
      </c>
      <c r="S22" s="34">
        <v>39234</v>
      </c>
    </row>
    <row r="23" spans="1:19" ht="12.75">
      <c r="A23" s="27" t="s">
        <v>118</v>
      </c>
      <c r="B23" s="35"/>
      <c r="C23" s="64">
        <f>E23-'[1]Switzerland'!E23</f>
        <v>-769</v>
      </c>
      <c r="D23" s="13">
        <f>F23-'[1]Switzerland'!F23</f>
        <v>-856</v>
      </c>
      <c r="E23" s="149">
        <v>53</v>
      </c>
      <c r="F23" s="13"/>
      <c r="G23" s="13">
        <v>0</v>
      </c>
      <c r="H23" s="13">
        <v>0</v>
      </c>
      <c r="I23" s="13">
        <v>0</v>
      </c>
      <c r="J23" s="13">
        <v>10</v>
      </c>
      <c r="K23" s="13">
        <v>24</v>
      </c>
      <c r="L23" s="13">
        <v>0</v>
      </c>
      <c r="M23" s="13">
        <v>0</v>
      </c>
      <c r="N23" s="13">
        <v>2</v>
      </c>
      <c r="O23" s="13">
        <v>0</v>
      </c>
      <c r="P23" s="13">
        <v>2</v>
      </c>
      <c r="Q23" s="13">
        <v>0</v>
      </c>
      <c r="R23" s="13">
        <v>0</v>
      </c>
      <c r="S23" s="37">
        <v>0</v>
      </c>
    </row>
    <row r="24" spans="1:19" ht="12.75">
      <c r="A24" s="27" t="s">
        <v>7</v>
      </c>
      <c r="B24" s="35"/>
      <c r="C24" s="64">
        <f>E24-'[1]Switzerland'!E24</f>
        <v>0</v>
      </c>
      <c r="D24" s="13">
        <f>F24-'[1]Switzerland'!F24</f>
        <v>0</v>
      </c>
      <c r="E24" s="149"/>
      <c r="F24" s="13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140</v>
      </c>
      <c r="O24" s="13">
        <v>0</v>
      </c>
      <c r="P24" s="13">
        <v>0</v>
      </c>
      <c r="Q24" s="13">
        <v>0</v>
      </c>
      <c r="R24" s="13">
        <v>0</v>
      </c>
      <c r="S24" s="37">
        <v>0</v>
      </c>
    </row>
    <row r="25" spans="1:19" ht="12.75">
      <c r="A25" s="27" t="s">
        <v>119</v>
      </c>
      <c r="B25" s="35"/>
      <c r="C25" s="64">
        <f>E25-'[1]Switzerland'!E25</f>
        <v>-2</v>
      </c>
      <c r="D25" s="13">
        <f>F25-'[1]Switzerland'!F25</f>
        <v>0</v>
      </c>
      <c r="E25" s="149"/>
      <c r="F25" s="13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37">
        <v>0</v>
      </c>
    </row>
    <row r="26" spans="1:19" ht="13.5" thickBot="1">
      <c r="A26" s="38" t="s">
        <v>60</v>
      </c>
      <c r="B26" s="36">
        <f>(E26-F26)/F26</f>
        <v>-1</v>
      </c>
      <c r="C26" s="65">
        <f>E26-'[1]Switzerland'!E26</f>
        <v>0</v>
      </c>
      <c r="D26" s="15">
        <f>F26-'[1]Switzerland'!F26</f>
        <v>5</v>
      </c>
      <c r="E26" s="150"/>
      <c r="F26" s="15">
        <v>5</v>
      </c>
      <c r="G26" s="15">
        <v>7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26</v>
      </c>
      <c r="O26" s="15">
        <v>0</v>
      </c>
      <c r="P26" s="15">
        <v>0</v>
      </c>
      <c r="Q26" s="15">
        <v>0</v>
      </c>
      <c r="R26" s="15">
        <v>1</v>
      </c>
      <c r="S26" s="39">
        <v>0</v>
      </c>
    </row>
    <row r="27" spans="1:19" ht="13.5" thickBot="1">
      <c r="A27" s="40" t="s">
        <v>23</v>
      </c>
      <c r="B27" s="41">
        <f>(E27-F27)/F27</f>
        <v>9.6</v>
      </c>
      <c r="C27" s="66">
        <f>E27-'[1]Switzerland'!E27</f>
        <v>39</v>
      </c>
      <c r="D27" s="42">
        <f>F27-'[1]Switzerland'!F27</f>
        <v>5</v>
      </c>
      <c r="E27" s="135">
        <f>SUM(E23:E26)</f>
        <v>53</v>
      </c>
      <c r="F27" s="42">
        <f>SUM(F23:F26)</f>
        <v>5</v>
      </c>
      <c r="G27" s="42">
        <f>SUM(G23:G26)</f>
        <v>7</v>
      </c>
      <c r="H27" s="42">
        <v>0</v>
      </c>
      <c r="I27" s="42">
        <v>0</v>
      </c>
      <c r="J27" s="42">
        <f aca="true" t="shared" si="3" ref="J27:S27">SUM(J23:J26)</f>
        <v>10</v>
      </c>
      <c r="K27" s="42">
        <f t="shared" si="3"/>
        <v>25</v>
      </c>
      <c r="L27" s="42">
        <f t="shared" si="3"/>
        <v>0</v>
      </c>
      <c r="M27" s="42">
        <f t="shared" si="3"/>
        <v>0</v>
      </c>
      <c r="N27" s="42">
        <f t="shared" si="3"/>
        <v>168</v>
      </c>
      <c r="O27" s="42">
        <f t="shared" si="3"/>
        <v>0</v>
      </c>
      <c r="P27" s="42">
        <f t="shared" si="3"/>
        <v>2</v>
      </c>
      <c r="Q27" s="42">
        <f t="shared" si="3"/>
        <v>0</v>
      </c>
      <c r="R27" s="42">
        <f t="shared" si="3"/>
        <v>1</v>
      </c>
      <c r="S27" s="43">
        <f t="shared" si="3"/>
        <v>0</v>
      </c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5"/>
      <c r="R42" s="1"/>
      <c r="S42" s="1"/>
    </row>
    <row r="43" spans="17:19" ht="18">
      <c r="Q43" s="5"/>
      <c r="R43" s="1"/>
      <c r="S43" s="1"/>
    </row>
    <row r="44" spans="17:19" ht="18">
      <c r="Q44" s="6"/>
      <c r="R44" s="1"/>
      <c r="S44" s="1"/>
    </row>
    <row r="45" spans="17:19" ht="18">
      <c r="Q45" s="7"/>
      <c r="R45" s="2"/>
      <c r="S45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8" width="11.28125" style="9" customWidth="1"/>
    <col min="9" max="9" width="11.00390625" style="9" customWidth="1"/>
    <col min="10" max="16" width="10.140625" style="12" bestFit="1" customWidth="1"/>
    <col min="17" max="19" width="10.140625" style="0" bestFit="1" customWidth="1"/>
    <col min="20" max="20" width="11.00390625" style="0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27" t="s">
        <v>4</v>
      </c>
      <c r="B2" s="35"/>
      <c r="C2" s="64">
        <f>E2-'[1]Netherlands'!E2</f>
        <v>0</v>
      </c>
      <c r="D2" s="13">
        <f>F2-'[1]Netherlands'!F2</f>
        <v>0</v>
      </c>
      <c r="E2" s="149">
        <v>0</v>
      </c>
      <c r="F2" s="13">
        <v>0</v>
      </c>
      <c r="G2" s="8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37">
        <v>0</v>
      </c>
    </row>
    <row r="3" spans="1:19" ht="12.75">
      <c r="A3" s="27" t="s">
        <v>2</v>
      </c>
      <c r="B3" s="35">
        <f aca="true" t="shared" si="0" ref="B3:B8">(E3-F3)/F3</f>
        <v>-0.8819646968534152</v>
      </c>
      <c r="C3" s="64">
        <f>E3-'[1]Netherlands'!E3</f>
        <v>-3821</v>
      </c>
      <c r="D3" s="13">
        <f>F3-'[1]Netherlands'!F3</f>
        <v>-12991</v>
      </c>
      <c r="E3" s="149">
        <v>769</v>
      </c>
      <c r="F3" s="13">
        <v>6515</v>
      </c>
      <c r="G3" s="8">
        <v>2080.2032</v>
      </c>
      <c r="H3" s="13">
        <v>373</v>
      </c>
      <c r="I3" s="13">
        <v>7021</v>
      </c>
      <c r="J3" s="13">
        <v>6190</v>
      </c>
      <c r="K3" s="13">
        <v>11426</v>
      </c>
      <c r="L3" s="13">
        <v>8000</v>
      </c>
      <c r="M3" s="13">
        <v>3000</v>
      </c>
      <c r="N3" s="13">
        <v>8000</v>
      </c>
      <c r="O3" s="13">
        <v>5000</v>
      </c>
      <c r="P3" s="13">
        <v>9000</v>
      </c>
      <c r="Q3" s="13">
        <v>6000</v>
      </c>
      <c r="R3" s="13">
        <v>5000</v>
      </c>
      <c r="S3" s="37">
        <v>6000</v>
      </c>
    </row>
    <row r="4" spans="1:19" ht="12.75">
      <c r="A4" s="27" t="s">
        <v>3</v>
      </c>
      <c r="B4" s="35">
        <f t="shared" si="0"/>
        <v>0.13475650433622416</v>
      </c>
      <c r="C4" s="64">
        <f>E4-'[1]Netherlands'!E4</f>
        <v>-575</v>
      </c>
      <c r="D4" s="13">
        <f>F4-'[1]Netherlands'!F4</f>
        <v>-1051</v>
      </c>
      <c r="E4" s="149">
        <v>1701</v>
      </c>
      <c r="F4" s="13">
        <v>1499</v>
      </c>
      <c r="G4" s="8">
        <v>2484.16</v>
      </c>
      <c r="H4" s="13">
        <v>2715</v>
      </c>
      <c r="I4" s="13">
        <v>4232</v>
      </c>
      <c r="J4" s="13">
        <v>4639</v>
      </c>
      <c r="K4" s="13">
        <v>5407</v>
      </c>
      <c r="L4" s="13">
        <v>4000</v>
      </c>
      <c r="M4" s="13">
        <v>4000</v>
      </c>
      <c r="N4" s="13">
        <v>3000</v>
      </c>
      <c r="O4" s="13">
        <v>4000</v>
      </c>
      <c r="P4" s="13">
        <v>5000</v>
      </c>
      <c r="Q4" s="13">
        <v>6000</v>
      </c>
      <c r="R4" s="13">
        <v>5000</v>
      </c>
      <c r="S4" s="37">
        <v>5000</v>
      </c>
    </row>
    <row r="5" spans="1:19" ht="12.75">
      <c r="A5" s="29" t="s">
        <v>109</v>
      </c>
      <c r="B5" s="35">
        <f t="shared" si="0"/>
        <v>-0.18049781613429458</v>
      </c>
      <c r="C5" s="64">
        <f>E5-'[1]Netherlands'!E5</f>
        <v>-7543</v>
      </c>
      <c r="D5" s="13">
        <f>F5-'[1]Netherlands'!F5</f>
        <v>-8969</v>
      </c>
      <c r="E5" s="149">
        <v>15573</v>
      </c>
      <c r="F5" s="13">
        <v>19003</v>
      </c>
      <c r="G5" s="8">
        <v>18214.4866</v>
      </c>
      <c r="H5" s="13">
        <v>12883</v>
      </c>
      <c r="I5" s="110">
        <v>30788</v>
      </c>
      <c r="J5" s="110">
        <v>27896</v>
      </c>
      <c r="K5" s="110">
        <v>33667</v>
      </c>
      <c r="L5" s="110">
        <v>24000</v>
      </c>
      <c r="M5" s="110">
        <v>21000</v>
      </c>
      <c r="N5" s="110">
        <v>41000</v>
      </c>
      <c r="O5" s="110">
        <v>22000</v>
      </c>
      <c r="P5" s="110">
        <v>40000</v>
      </c>
      <c r="Q5" s="110">
        <v>35000</v>
      </c>
      <c r="R5" s="13">
        <v>33000</v>
      </c>
      <c r="S5" s="37">
        <v>33000</v>
      </c>
    </row>
    <row r="6" spans="1:19" ht="12.75">
      <c r="A6" s="29" t="s">
        <v>137</v>
      </c>
      <c r="B6" s="35">
        <f t="shared" si="0"/>
        <v>-0.2976834370854169</v>
      </c>
      <c r="C6" s="64">
        <f>E6-'[1]Netherlands'!E6</f>
        <v>-3630</v>
      </c>
      <c r="D6" s="13">
        <f>F6-'[1]Netherlands'!F6</f>
        <v>-4293</v>
      </c>
      <c r="E6" s="149">
        <v>6882</v>
      </c>
      <c r="F6" s="13">
        <v>9799</v>
      </c>
      <c r="G6" s="8">
        <v>12397.0296</v>
      </c>
      <c r="H6" s="13">
        <v>1390</v>
      </c>
      <c r="I6" s="110">
        <v>14357</v>
      </c>
      <c r="J6" s="110">
        <v>9569</v>
      </c>
      <c r="K6" s="110">
        <v>10249</v>
      </c>
      <c r="L6" s="110"/>
      <c r="M6" s="110"/>
      <c r="N6" s="110"/>
      <c r="O6" s="110"/>
      <c r="P6" s="110"/>
      <c r="Q6" s="110"/>
      <c r="R6" s="13"/>
      <c r="S6" s="37"/>
    </row>
    <row r="7" spans="1:19" ht="13.5" thickBot="1">
      <c r="A7" s="87" t="s">
        <v>60</v>
      </c>
      <c r="B7" s="36">
        <f t="shared" si="0"/>
        <v>0.1317016317016317</v>
      </c>
      <c r="C7" s="65">
        <f>E7-'[1]Netherlands'!E7</f>
        <v>-1105</v>
      </c>
      <c r="D7" s="15">
        <f>F7-'[1]Netherlands'!F7</f>
        <v>-1472</v>
      </c>
      <c r="E7" s="150">
        <v>971</v>
      </c>
      <c r="F7" s="15">
        <v>858</v>
      </c>
      <c r="G7" s="15">
        <v>1374.738</v>
      </c>
      <c r="H7" s="15">
        <v>336</v>
      </c>
      <c r="I7" s="111">
        <v>480</v>
      </c>
      <c r="J7" s="111">
        <v>0</v>
      </c>
      <c r="K7" s="111">
        <v>534</v>
      </c>
      <c r="L7" s="111">
        <v>10000</v>
      </c>
      <c r="M7" s="111">
        <v>5000</v>
      </c>
      <c r="N7" s="111">
        <v>7000</v>
      </c>
      <c r="O7" s="111">
        <v>5000</v>
      </c>
      <c r="P7" s="111">
        <v>4000</v>
      </c>
      <c r="Q7" s="111">
        <v>0</v>
      </c>
      <c r="R7" s="15">
        <v>0</v>
      </c>
      <c r="S7" s="39">
        <v>0</v>
      </c>
    </row>
    <row r="8" spans="1:19" ht="13.5" thickBot="1">
      <c r="A8" s="45" t="s">
        <v>23</v>
      </c>
      <c r="B8" s="41">
        <f t="shared" si="0"/>
        <v>-0.31262939958592134</v>
      </c>
      <c r="C8" s="66">
        <f>E8-'[1]Netherlands'!E8</f>
        <v>-16674</v>
      </c>
      <c r="D8" s="42">
        <f>F8-'[1]Netherlands'!F8</f>
        <v>-28776</v>
      </c>
      <c r="E8" s="135">
        <f aca="true" t="shared" si="1" ref="E8:K8">SUM(E2:E7)</f>
        <v>25896</v>
      </c>
      <c r="F8" s="42">
        <f t="shared" si="1"/>
        <v>37674</v>
      </c>
      <c r="G8" s="42">
        <f t="shared" si="1"/>
        <v>36550.617399999996</v>
      </c>
      <c r="H8" s="42">
        <f t="shared" si="1"/>
        <v>17697</v>
      </c>
      <c r="I8" s="42">
        <f t="shared" si="1"/>
        <v>56878</v>
      </c>
      <c r="J8" s="42">
        <f t="shared" si="1"/>
        <v>48294</v>
      </c>
      <c r="K8" s="42">
        <f t="shared" si="1"/>
        <v>61283</v>
      </c>
      <c r="L8" s="42">
        <f aca="true" t="shared" si="2" ref="L8:S8">SUM(L2:L7)</f>
        <v>46000</v>
      </c>
      <c r="M8" s="42">
        <f t="shared" si="2"/>
        <v>33000</v>
      </c>
      <c r="N8" s="42">
        <f t="shared" si="2"/>
        <v>59000</v>
      </c>
      <c r="O8" s="42">
        <f t="shared" si="2"/>
        <v>36000</v>
      </c>
      <c r="P8" s="42">
        <f t="shared" si="2"/>
        <v>58000</v>
      </c>
      <c r="Q8" s="42">
        <f t="shared" si="2"/>
        <v>47000</v>
      </c>
      <c r="R8" s="42">
        <f t="shared" si="2"/>
        <v>43000</v>
      </c>
      <c r="S8" s="43">
        <f t="shared" si="2"/>
        <v>44000</v>
      </c>
    </row>
    <row r="9" spans="2:17" s="9" customFormat="1" ht="12.75">
      <c r="B9" s="44"/>
      <c r="C9" s="44"/>
      <c r="D9" s="44"/>
      <c r="E9" s="44"/>
      <c r="F9" s="44"/>
      <c r="G9" s="44"/>
      <c r="H9" s="44"/>
      <c r="I9" s="158"/>
      <c r="J9" s="158"/>
      <c r="K9" s="158"/>
      <c r="L9" s="12"/>
      <c r="M9" s="12"/>
      <c r="N9" s="12"/>
      <c r="O9" s="12"/>
      <c r="P9" s="12"/>
      <c r="Q9" s="12"/>
    </row>
    <row r="10" spans="2:17" s="9" customFormat="1" ht="13.5" thickBot="1">
      <c r="B10" s="44"/>
      <c r="C10" s="44"/>
      <c r="D10" s="44"/>
      <c r="E10" s="44"/>
      <c r="F10" s="44"/>
      <c r="G10" s="44"/>
      <c r="H10" s="44"/>
      <c r="I10" s="158"/>
      <c r="J10" s="158"/>
      <c r="K10" s="158"/>
      <c r="L10" s="12"/>
      <c r="M10" s="12"/>
      <c r="N10" s="12"/>
      <c r="O10" s="12"/>
      <c r="P10" s="12"/>
      <c r="Q10" s="12"/>
    </row>
    <row r="11" spans="1:19" s="16" customFormat="1" ht="13.5" thickBot="1">
      <c r="A11" s="31" t="s">
        <v>25</v>
      </c>
      <c r="B11" s="32" t="s">
        <v>173</v>
      </c>
      <c r="C11" s="63" t="s">
        <v>172</v>
      </c>
      <c r="D11" s="109" t="s">
        <v>171</v>
      </c>
      <c r="E11" s="148">
        <v>44348</v>
      </c>
      <c r="F11" s="161">
        <v>43983</v>
      </c>
      <c r="G11" s="161">
        <v>43617</v>
      </c>
      <c r="H11" s="161">
        <v>43252</v>
      </c>
      <c r="I11" s="33">
        <v>42887</v>
      </c>
      <c r="J11" s="33">
        <v>42522</v>
      </c>
      <c r="K11" s="33">
        <v>42156</v>
      </c>
      <c r="L11" s="33">
        <v>41791</v>
      </c>
      <c r="M11" s="33">
        <v>41426</v>
      </c>
      <c r="N11" s="33">
        <v>41061</v>
      </c>
      <c r="O11" s="33">
        <v>40695</v>
      </c>
      <c r="P11" s="33">
        <v>40330</v>
      </c>
      <c r="Q11" s="33">
        <v>39965</v>
      </c>
      <c r="R11" s="33">
        <v>39600</v>
      </c>
      <c r="S11" s="34">
        <v>39234</v>
      </c>
    </row>
    <row r="12" spans="1:19" ht="12.75">
      <c r="A12" s="27" t="s">
        <v>7</v>
      </c>
      <c r="B12" s="35">
        <f>(E12-F12)/F12</f>
        <v>0.1891531027466938</v>
      </c>
      <c r="C12" s="64">
        <f>E12-'[1]Netherlands'!E12</f>
        <v>-32615</v>
      </c>
      <c r="D12" s="13">
        <f>F12-'[1]Netherlands'!F12</f>
        <v>-27334</v>
      </c>
      <c r="E12" s="149">
        <v>37406</v>
      </c>
      <c r="F12" s="13">
        <v>31456</v>
      </c>
      <c r="G12" s="8">
        <v>37475.6952</v>
      </c>
      <c r="H12" s="13">
        <v>33424</v>
      </c>
      <c r="I12" s="13">
        <v>39922</v>
      </c>
      <c r="J12" s="13">
        <v>31765</v>
      </c>
      <c r="K12" s="13">
        <v>28378</v>
      </c>
      <c r="L12" s="13">
        <v>16500</v>
      </c>
      <c r="M12" s="13">
        <v>12000</v>
      </c>
      <c r="N12" s="13">
        <v>21000</v>
      </c>
      <c r="O12" s="13">
        <v>18000</v>
      </c>
      <c r="P12" s="13">
        <v>21000</v>
      </c>
      <c r="Q12" s="13">
        <v>12000</v>
      </c>
      <c r="R12" s="13">
        <v>23000</v>
      </c>
      <c r="S12" s="37">
        <v>34000</v>
      </c>
    </row>
    <row r="13" spans="1:19" ht="12.75">
      <c r="A13" s="27" t="s">
        <v>102</v>
      </c>
      <c r="B13" s="35"/>
      <c r="C13" s="64">
        <f>E13-'[1]Netherlands'!E13</f>
        <v>0</v>
      </c>
      <c r="D13" s="13">
        <f>F13-'[1]Netherlands'!F13</f>
        <v>0</v>
      </c>
      <c r="E13" s="149">
        <v>0</v>
      </c>
      <c r="F13" s="13">
        <v>0</v>
      </c>
      <c r="G13" s="8">
        <v>0</v>
      </c>
      <c r="H13" s="13">
        <v>0</v>
      </c>
      <c r="I13" s="13">
        <v>0</v>
      </c>
      <c r="J13" s="13">
        <v>0</v>
      </c>
      <c r="K13" s="13">
        <v>0</v>
      </c>
      <c r="L13" s="13"/>
      <c r="M13" s="13"/>
      <c r="N13" s="13"/>
      <c r="O13" s="13"/>
      <c r="P13" s="13"/>
      <c r="Q13" s="13"/>
      <c r="R13" s="13"/>
      <c r="S13" s="37"/>
    </row>
    <row r="14" spans="1:19" ht="13.5" thickBot="1">
      <c r="A14" s="38" t="s">
        <v>6</v>
      </c>
      <c r="B14" s="36"/>
      <c r="C14" s="65">
        <f>E14-'[1]Netherlands'!E14</f>
        <v>-508</v>
      </c>
      <c r="D14" s="15">
        <f>F14-'[1]Netherlands'!F14</f>
        <v>-846</v>
      </c>
      <c r="E14" s="150">
        <v>0</v>
      </c>
      <c r="F14" s="15">
        <v>0</v>
      </c>
      <c r="G14" s="15">
        <v>0.3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  <c r="Q14" s="15"/>
      <c r="R14" s="15"/>
      <c r="S14" s="39"/>
    </row>
    <row r="15" spans="1:19" ht="13.5" thickBot="1">
      <c r="A15" s="40" t="s">
        <v>23</v>
      </c>
      <c r="B15" s="41">
        <f>(E15-F15)/F15</f>
        <v>0.1891531027466938</v>
      </c>
      <c r="C15" s="66">
        <f>E15-'[1]Netherlands'!E15</f>
        <v>-33123</v>
      </c>
      <c r="D15" s="42">
        <f>F15-'[1]Netherlands'!F15</f>
        <v>-28180</v>
      </c>
      <c r="E15" s="135">
        <f>SUM(E12:E14)</f>
        <v>37406</v>
      </c>
      <c r="F15" s="42">
        <f>SUM(F12:F14)</f>
        <v>31456</v>
      </c>
      <c r="G15" s="42">
        <f>SUM(G12:G14)</f>
        <v>37475.995200000005</v>
      </c>
      <c r="H15" s="42">
        <f aca="true" t="shared" si="3" ref="H15:M15">SUM(H12:H14)</f>
        <v>33424</v>
      </c>
      <c r="I15" s="42">
        <f t="shared" si="3"/>
        <v>39922</v>
      </c>
      <c r="J15" s="42">
        <f t="shared" si="3"/>
        <v>31765</v>
      </c>
      <c r="K15" s="42">
        <f t="shared" si="3"/>
        <v>28378</v>
      </c>
      <c r="L15" s="42">
        <f t="shared" si="3"/>
        <v>16500</v>
      </c>
      <c r="M15" s="42">
        <f t="shared" si="3"/>
        <v>12000</v>
      </c>
      <c r="N15" s="42">
        <f aca="true" t="shared" si="4" ref="N15:S15">SUM(N12:N14)</f>
        <v>21000</v>
      </c>
      <c r="O15" s="42">
        <f t="shared" si="4"/>
        <v>18000</v>
      </c>
      <c r="P15" s="42">
        <f t="shared" si="4"/>
        <v>21000</v>
      </c>
      <c r="Q15" s="42">
        <f t="shared" si="4"/>
        <v>12000</v>
      </c>
      <c r="R15" s="42">
        <f t="shared" si="4"/>
        <v>23000</v>
      </c>
      <c r="S15" s="43">
        <f t="shared" si="4"/>
        <v>34000</v>
      </c>
    </row>
    <row r="22" spans="17:19" ht="18">
      <c r="Q22" s="5"/>
      <c r="R22" s="1"/>
      <c r="S22" s="1"/>
    </row>
    <row r="23" spans="17:19" ht="18">
      <c r="Q23" s="5"/>
      <c r="R23" s="1"/>
      <c r="S23" s="1"/>
    </row>
    <row r="24" spans="17:19" ht="18">
      <c r="Q24" s="5"/>
      <c r="R24" s="1"/>
      <c r="S24" s="1"/>
    </row>
    <row r="25" spans="17:19" ht="18">
      <c r="Q25" s="5"/>
      <c r="R25" s="1"/>
      <c r="S25" s="1"/>
    </row>
    <row r="26" spans="17:19" ht="18">
      <c r="Q26" s="5"/>
      <c r="R26" s="1"/>
      <c r="S26" s="1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5"/>
      <c r="R29" s="1"/>
      <c r="S29" s="1"/>
    </row>
    <row r="30" spans="17:19" ht="18">
      <c r="Q30" s="5"/>
      <c r="R30" s="1"/>
      <c r="S30" s="1"/>
    </row>
    <row r="31" spans="17:19" ht="18">
      <c r="Q31" s="5"/>
      <c r="R31" s="1"/>
      <c r="S31" s="1"/>
    </row>
    <row r="32" spans="17:19" ht="18">
      <c r="Q32" s="6"/>
      <c r="R32" s="1"/>
      <c r="S32" s="1"/>
    </row>
    <row r="33" spans="17:19" ht="18">
      <c r="Q33" s="7"/>
      <c r="R33" s="2"/>
      <c r="S3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customWidth="1"/>
    <col min="4" max="8" width="11.421875" style="9" customWidth="1"/>
    <col min="9" max="16" width="10.140625" style="9" bestFit="1" customWidth="1"/>
    <col min="17" max="19" width="10.140625" style="0" bestFit="1" customWidth="1"/>
  </cols>
  <sheetData>
    <row r="1" spans="1:19" ht="13.5" thickBot="1">
      <c r="A1" s="53" t="s">
        <v>93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54" t="s">
        <v>11</v>
      </c>
      <c r="B2" s="61">
        <f>(E2-F2)/F2</f>
        <v>0.8</v>
      </c>
      <c r="C2" s="102">
        <f>E2-'[1]UK'!E2</f>
        <v>-1628</v>
      </c>
      <c r="D2" s="91">
        <f>F2-'[1]UK'!F2</f>
        <v>-2551</v>
      </c>
      <c r="E2" s="57">
        <v>54</v>
      </c>
      <c r="F2" s="91">
        <v>30</v>
      </c>
      <c r="G2" s="91">
        <v>51</v>
      </c>
      <c r="H2" s="91">
        <v>330</v>
      </c>
      <c r="I2" s="91"/>
      <c r="J2" s="91">
        <v>0</v>
      </c>
      <c r="K2" s="91">
        <v>0</v>
      </c>
      <c r="L2" s="91">
        <v>0</v>
      </c>
      <c r="M2" s="91">
        <v>0</v>
      </c>
      <c r="N2" s="91">
        <v>0</v>
      </c>
      <c r="O2" s="91">
        <v>0</v>
      </c>
      <c r="P2" s="91">
        <v>0</v>
      </c>
      <c r="Q2" s="91"/>
      <c r="R2" s="52"/>
      <c r="S2" s="82"/>
    </row>
    <row r="3" spans="1:19" ht="12.75">
      <c r="A3" s="54" t="s">
        <v>37</v>
      </c>
      <c r="B3" s="61">
        <f aca="true" t="shared" si="0" ref="B3:B12">(E3-F3)/F3</f>
        <v>0.3746094859414939</v>
      </c>
      <c r="C3" s="102">
        <f>E3-'[1]UK'!E3</f>
        <v>-4211</v>
      </c>
      <c r="D3" s="91">
        <f>F3-'[1]UK'!F3</f>
        <v>-3566</v>
      </c>
      <c r="E3" s="57">
        <v>4840</v>
      </c>
      <c r="F3" s="91">
        <v>3521</v>
      </c>
      <c r="G3" s="91">
        <v>6000</v>
      </c>
      <c r="H3" s="91">
        <v>6000</v>
      </c>
      <c r="I3" s="91"/>
      <c r="J3" s="91">
        <v>4000</v>
      </c>
      <c r="K3" s="91">
        <v>12000</v>
      </c>
      <c r="L3" s="91">
        <v>14300</v>
      </c>
      <c r="M3" s="91">
        <v>5000</v>
      </c>
      <c r="N3" s="91">
        <v>5000</v>
      </c>
      <c r="O3" s="91">
        <v>9000</v>
      </c>
      <c r="P3" s="91">
        <v>12000</v>
      </c>
      <c r="Q3" s="91">
        <v>15000</v>
      </c>
      <c r="R3" s="52">
        <v>7000</v>
      </c>
      <c r="S3" s="82">
        <v>11000</v>
      </c>
    </row>
    <row r="4" spans="1:19" ht="12.75">
      <c r="A4" s="54" t="s">
        <v>29</v>
      </c>
      <c r="B4" s="61"/>
      <c r="C4" s="102">
        <f>E4-'[1]UK'!E4</f>
        <v>-803</v>
      </c>
      <c r="D4" s="91">
        <f>F4-'[1]UK'!F4</f>
        <v>-116</v>
      </c>
      <c r="E4" s="57"/>
      <c r="F4" s="91"/>
      <c r="G4" s="91"/>
      <c r="H4" s="91">
        <v>0</v>
      </c>
      <c r="I4" s="91"/>
      <c r="J4" s="91">
        <v>0</v>
      </c>
      <c r="K4" s="91">
        <v>0</v>
      </c>
      <c r="L4" s="91">
        <v>0</v>
      </c>
      <c r="M4" s="91">
        <v>0</v>
      </c>
      <c r="N4" s="91">
        <v>0</v>
      </c>
      <c r="O4" s="91">
        <v>0</v>
      </c>
      <c r="P4" s="91">
        <v>0</v>
      </c>
      <c r="Q4" s="91"/>
      <c r="R4" s="52"/>
      <c r="S4" s="82"/>
    </row>
    <row r="5" spans="1:19" ht="12.75">
      <c r="A5" s="54" t="s">
        <v>5</v>
      </c>
      <c r="B5" s="61"/>
      <c r="C5" s="102">
        <f>E5-'[1]UK'!E5</f>
        <v>0</v>
      </c>
      <c r="D5" s="91">
        <f>F5-'[1]UK'!F5</f>
        <v>0</v>
      </c>
      <c r="E5" s="57"/>
      <c r="F5" s="91"/>
      <c r="G5" s="91"/>
      <c r="H5" s="91">
        <v>0</v>
      </c>
      <c r="I5" s="91"/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/>
      <c r="R5" s="52"/>
      <c r="S5" s="82"/>
    </row>
    <row r="6" spans="1:19" ht="12.75">
      <c r="A6" s="54" t="s">
        <v>9</v>
      </c>
      <c r="B6" s="61">
        <f t="shared" si="0"/>
        <v>-0.2650714729645743</v>
      </c>
      <c r="C6" s="102">
        <f>E6-'[1]UK'!E6</f>
        <v>-3671</v>
      </c>
      <c r="D6" s="91">
        <f>F6-'[1]UK'!F6</f>
        <v>-4407</v>
      </c>
      <c r="E6" s="57">
        <v>2365</v>
      </c>
      <c r="F6" s="91">
        <v>3218</v>
      </c>
      <c r="G6" s="91">
        <v>176</v>
      </c>
      <c r="H6" s="91">
        <v>0</v>
      </c>
      <c r="I6" s="91"/>
      <c r="J6" s="91">
        <v>650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/>
      <c r="R6" s="52"/>
      <c r="S6" s="82"/>
    </row>
    <row r="7" spans="1:19" ht="12.75">
      <c r="A7" s="54" t="s">
        <v>27</v>
      </c>
      <c r="B7" s="61"/>
      <c r="C7" s="102">
        <f>E7-'[1]UK'!E7</f>
        <v>0</v>
      </c>
      <c r="D7" s="91">
        <f>F7-'[1]UK'!F7</f>
        <v>0</v>
      </c>
      <c r="E7" s="57"/>
      <c r="F7" s="91"/>
      <c r="G7" s="91"/>
      <c r="H7" s="91">
        <v>0</v>
      </c>
      <c r="I7" s="91"/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/>
      <c r="R7" s="52"/>
      <c r="S7" s="82"/>
    </row>
    <row r="8" spans="1:19" ht="12.75">
      <c r="A8" s="54" t="s">
        <v>26</v>
      </c>
      <c r="B8" s="61"/>
      <c r="C8" s="102">
        <f>E8-'[1]UK'!E8</f>
        <v>0</v>
      </c>
      <c r="D8" s="91">
        <f>F8-'[1]UK'!F8</f>
        <v>0</v>
      </c>
      <c r="E8" s="57"/>
      <c r="F8" s="91"/>
      <c r="G8" s="91"/>
      <c r="H8" s="91">
        <v>0</v>
      </c>
      <c r="I8" s="91"/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/>
      <c r="R8" s="52"/>
      <c r="S8" s="82"/>
    </row>
    <row r="9" spans="1:19" ht="12.75">
      <c r="A9" s="54" t="s">
        <v>35</v>
      </c>
      <c r="B9" s="61"/>
      <c r="C9" s="102">
        <f>E9-'[1]UK'!E9</f>
        <v>0</v>
      </c>
      <c r="D9" s="91">
        <f>F9-'[1]UK'!F9</f>
        <v>0</v>
      </c>
      <c r="E9" s="57"/>
      <c r="F9" s="91"/>
      <c r="G9" s="91"/>
      <c r="H9" s="91">
        <v>0</v>
      </c>
      <c r="I9" s="91"/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/>
      <c r="R9" s="52"/>
      <c r="S9" s="82"/>
    </row>
    <row r="10" spans="1:19" ht="12.75">
      <c r="A10" s="54" t="s">
        <v>137</v>
      </c>
      <c r="B10" s="61">
        <f t="shared" si="0"/>
        <v>1.5512104283054005</v>
      </c>
      <c r="C10" s="102">
        <f>E10-'[1]UK'!E10</f>
        <v>-556</v>
      </c>
      <c r="D10" s="91">
        <f>F10-'[1]UK'!F10</f>
        <v>-854</v>
      </c>
      <c r="E10" s="57">
        <v>1370</v>
      </c>
      <c r="F10" s="91">
        <v>537</v>
      </c>
      <c r="G10" s="91">
        <v>885</v>
      </c>
      <c r="H10" s="91">
        <v>0</v>
      </c>
      <c r="I10" s="91"/>
      <c r="J10" s="91">
        <v>580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/>
      <c r="R10" s="52"/>
      <c r="S10" s="82"/>
    </row>
    <row r="11" spans="1:19" ht="13.5" thickBot="1">
      <c r="A11" s="55" t="s">
        <v>6</v>
      </c>
      <c r="B11" s="62">
        <f t="shared" si="0"/>
        <v>-0.9365079365079365</v>
      </c>
      <c r="C11" s="102">
        <f>E11-'[1]UK'!E11</f>
        <v>-127</v>
      </c>
      <c r="D11" s="91">
        <f>F11-'[1]UK'!F11</f>
        <v>-537</v>
      </c>
      <c r="E11" s="57">
        <v>16</v>
      </c>
      <c r="F11" s="91">
        <v>252</v>
      </c>
      <c r="G11" s="91">
        <v>70</v>
      </c>
      <c r="H11" s="91">
        <v>0</v>
      </c>
      <c r="I11" s="92"/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/>
      <c r="R11" s="52"/>
      <c r="S11" s="83"/>
    </row>
    <row r="12" spans="1:19" ht="13.5" thickBot="1">
      <c r="A12" s="56" t="s">
        <v>94</v>
      </c>
      <c r="B12" s="107">
        <f t="shared" si="0"/>
        <v>0.14382111669753903</v>
      </c>
      <c r="C12" s="88">
        <f>E12-'[1]UK'!E12</f>
        <v>-10996</v>
      </c>
      <c r="D12" s="122">
        <f>F12-'[1]UK'!F12</f>
        <v>-12031</v>
      </c>
      <c r="E12" s="59">
        <f>SUM(E2:E11)</f>
        <v>8645</v>
      </c>
      <c r="F12" s="122">
        <f>SUM(F2:F11)</f>
        <v>7558</v>
      </c>
      <c r="G12" s="122">
        <f>SUM(G2:G11)</f>
        <v>7182</v>
      </c>
      <c r="H12" s="122">
        <f>SUM(H2:H11)</f>
        <v>6330</v>
      </c>
      <c r="I12" s="122"/>
      <c r="J12" s="122">
        <f>SUM(J2:J11)</f>
        <v>5230</v>
      </c>
      <c r="K12" s="122">
        <f>SUM(K2:K11)</f>
        <v>12000</v>
      </c>
      <c r="L12" s="122">
        <f>SUM(L2:L11)</f>
        <v>14300</v>
      </c>
      <c r="M12" s="122">
        <f>SUM(M2:M11)</f>
        <v>5000</v>
      </c>
      <c r="N12" s="122">
        <f aca="true" t="shared" si="1" ref="N12:S12">SUM(N2:N11)</f>
        <v>5000</v>
      </c>
      <c r="O12" s="122">
        <f t="shared" si="1"/>
        <v>9000</v>
      </c>
      <c r="P12" s="122">
        <f t="shared" si="1"/>
        <v>12000</v>
      </c>
      <c r="Q12" s="122">
        <f t="shared" si="1"/>
        <v>15000</v>
      </c>
      <c r="R12" s="60">
        <f t="shared" si="1"/>
        <v>7000</v>
      </c>
      <c r="S12" s="43">
        <f t="shared" si="1"/>
        <v>11000</v>
      </c>
    </row>
    <row r="13" ht="12.75">
      <c r="Q13" s="9"/>
    </row>
    <row r="14" spans="2:19" ht="13.5" thickBot="1">
      <c r="B14" s="3"/>
      <c r="C14" s="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3"/>
      <c r="S14" s="3"/>
    </row>
    <row r="15" spans="1:19" s="69" customFormat="1" ht="13.5" thickBot="1">
      <c r="A15" s="68" t="s">
        <v>93</v>
      </c>
      <c r="B15" s="32" t="s">
        <v>173</v>
      </c>
      <c r="C15" s="63" t="s">
        <v>172</v>
      </c>
      <c r="D15" s="109" t="s">
        <v>171</v>
      </c>
      <c r="E15" s="148">
        <v>44348</v>
      </c>
      <c r="F15" s="161">
        <v>43983</v>
      </c>
      <c r="G15" s="161">
        <v>43617</v>
      </c>
      <c r="H15" s="161">
        <v>43252</v>
      </c>
      <c r="I15" s="33">
        <v>42887</v>
      </c>
      <c r="J15" s="33">
        <v>42522</v>
      </c>
      <c r="K15" s="33">
        <v>42156</v>
      </c>
      <c r="L15" s="33">
        <v>41791</v>
      </c>
      <c r="M15" s="33">
        <v>41426</v>
      </c>
      <c r="N15" s="33">
        <v>41061</v>
      </c>
      <c r="O15" s="33">
        <v>40695</v>
      </c>
      <c r="P15" s="33">
        <v>40330</v>
      </c>
      <c r="Q15" s="33">
        <v>39965</v>
      </c>
      <c r="R15" s="33">
        <v>39600</v>
      </c>
      <c r="S15" s="34">
        <v>39234</v>
      </c>
    </row>
    <row r="16" spans="1:19" s="67" customFormat="1" ht="12.75">
      <c r="A16" s="70" t="s">
        <v>7</v>
      </c>
      <c r="B16" s="71"/>
      <c r="C16" s="100">
        <f>E16-'[1]UK'!E16</f>
        <v>-277</v>
      </c>
      <c r="D16" s="96">
        <f>F16-'[1]UK'!F16</f>
        <v>0</v>
      </c>
      <c r="E16" s="72">
        <v>15</v>
      </c>
      <c r="F16" s="96">
        <v>0</v>
      </c>
      <c r="G16" s="96">
        <v>0</v>
      </c>
      <c r="H16" s="96">
        <v>0</v>
      </c>
      <c r="I16" s="96"/>
      <c r="J16" s="96">
        <v>100</v>
      </c>
      <c r="K16" s="96">
        <v>450</v>
      </c>
      <c r="L16" s="96">
        <v>700</v>
      </c>
      <c r="M16" s="96">
        <v>300</v>
      </c>
      <c r="N16" s="96">
        <v>300</v>
      </c>
      <c r="O16" s="96">
        <v>500</v>
      </c>
      <c r="P16" s="96">
        <v>800</v>
      </c>
      <c r="Q16" s="96">
        <v>0</v>
      </c>
      <c r="R16" s="73">
        <v>100</v>
      </c>
      <c r="S16" s="84">
        <v>0</v>
      </c>
    </row>
    <row r="17" spans="1:19" s="67" customFormat="1" ht="12.75">
      <c r="A17" s="70" t="s">
        <v>95</v>
      </c>
      <c r="B17" s="71"/>
      <c r="C17" s="100">
        <f>E17-'[1]UK'!E17</f>
        <v>-130</v>
      </c>
      <c r="D17" s="96">
        <f>F17-'[1]UK'!F17</f>
        <v>0</v>
      </c>
      <c r="E17" s="72"/>
      <c r="F17" s="96">
        <v>0</v>
      </c>
      <c r="G17" s="96">
        <v>0</v>
      </c>
      <c r="H17" s="96">
        <v>0</v>
      </c>
      <c r="I17" s="96"/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73">
        <v>0</v>
      </c>
      <c r="S17" s="84">
        <v>0</v>
      </c>
    </row>
    <row r="18" spans="1:19" s="67" customFormat="1" ht="13.5" thickBot="1">
      <c r="A18" s="74" t="s">
        <v>6</v>
      </c>
      <c r="B18" s="75"/>
      <c r="C18" s="100">
        <f>E18-'[1]UK'!E18</f>
        <v>-111</v>
      </c>
      <c r="D18" s="96">
        <f>F18-'[1]UK'!F18</f>
        <v>0</v>
      </c>
      <c r="E18" s="72"/>
      <c r="F18" s="96">
        <v>0</v>
      </c>
      <c r="G18" s="96">
        <v>0</v>
      </c>
      <c r="H18" s="96">
        <v>0</v>
      </c>
      <c r="I18" s="97"/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77">
        <v>0</v>
      </c>
      <c r="S18" s="85">
        <v>0</v>
      </c>
    </row>
    <row r="19" spans="1:19" s="67" customFormat="1" ht="13.5" thickBot="1">
      <c r="A19" s="78" t="s">
        <v>94</v>
      </c>
      <c r="B19" s="79"/>
      <c r="C19" s="117">
        <f>E19-'[1]UK'!E19</f>
        <v>-518</v>
      </c>
      <c r="D19" s="114">
        <f>F19-'[1]UK'!F19</f>
        <v>0</v>
      </c>
      <c r="E19" s="80">
        <f>SUM(E16:E18)</f>
        <v>15</v>
      </c>
      <c r="F19" s="114">
        <f>SUM(F16:F18)</f>
        <v>0</v>
      </c>
      <c r="G19" s="114">
        <f>SUM(G16:G18)</f>
        <v>0</v>
      </c>
      <c r="H19" s="114">
        <f>SUM(H16:H18)</f>
        <v>0</v>
      </c>
      <c r="I19" s="114"/>
      <c r="J19" s="114">
        <f>SUM(J16:J18)</f>
        <v>100</v>
      </c>
      <c r="K19" s="114">
        <f>SUM(K16:K18)</f>
        <v>450</v>
      </c>
      <c r="L19" s="114">
        <f>SUM(L16:L18)</f>
        <v>700</v>
      </c>
      <c r="M19" s="114">
        <f>SUM(M16:M18)</f>
        <v>300</v>
      </c>
      <c r="N19" s="114">
        <f aca="true" t="shared" si="2" ref="N19:S19">SUM(N16:N18)</f>
        <v>300</v>
      </c>
      <c r="O19" s="114">
        <f t="shared" si="2"/>
        <v>500</v>
      </c>
      <c r="P19" s="114">
        <f t="shared" si="2"/>
        <v>800</v>
      </c>
      <c r="Q19" s="114">
        <f t="shared" si="2"/>
        <v>0</v>
      </c>
      <c r="R19" s="115">
        <f t="shared" si="2"/>
        <v>100</v>
      </c>
      <c r="S19" s="116">
        <f t="shared" si="2"/>
        <v>0</v>
      </c>
    </row>
    <row r="20" spans="4:16" s="67" customFormat="1" ht="12.75"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6" s="67" customFormat="1" ht="12.75">
      <c r="A21" s="69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4:16" s="67" customFormat="1" ht="12.75"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7" width="11.421875" style="9" customWidth="1"/>
    <col min="8" max="8" width="11.7109375" style="9" customWidth="1"/>
    <col min="9" max="9" width="10.140625" style="0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24" ht="12.75">
      <c r="A2" s="27" t="s">
        <v>11</v>
      </c>
      <c r="B2" s="35">
        <f>(E2-F2)/F2</f>
        <v>-0.25444839857651247</v>
      </c>
      <c r="C2" s="64">
        <f>E2-'[1]US'!E2</f>
        <v>-401</v>
      </c>
      <c r="D2" s="13">
        <f>F2-'[1]US'!F2</f>
        <v>-1487</v>
      </c>
      <c r="E2" s="149">
        <v>838</v>
      </c>
      <c r="F2" s="13">
        <v>1124</v>
      </c>
      <c r="G2" s="13">
        <v>762</v>
      </c>
      <c r="H2" s="13">
        <v>324</v>
      </c>
      <c r="I2" s="13">
        <v>495</v>
      </c>
      <c r="J2" s="13">
        <v>38</v>
      </c>
      <c r="K2" s="13">
        <v>4993</v>
      </c>
      <c r="L2" s="13">
        <v>76</v>
      </c>
      <c r="M2" s="13">
        <v>553</v>
      </c>
      <c r="N2" s="13">
        <v>419</v>
      </c>
      <c r="O2" s="13">
        <v>4802.177858439201</v>
      </c>
      <c r="P2" s="13">
        <v>2877.4954627949182</v>
      </c>
      <c r="Q2" s="13">
        <v>6784.029038112522</v>
      </c>
      <c r="R2" s="13">
        <v>1391.1070780399275</v>
      </c>
      <c r="S2" s="37">
        <v>1600.7259528130671</v>
      </c>
      <c r="W2" s="13"/>
      <c r="X2" s="46"/>
    </row>
    <row r="3" spans="1:24" ht="12.75">
      <c r="A3" s="27" t="s">
        <v>33</v>
      </c>
      <c r="B3" s="35">
        <f aca="true" t="shared" si="0" ref="B3:B26">(E3-F3)/F3</f>
        <v>0.46254681647940077</v>
      </c>
      <c r="C3" s="64">
        <f>E3-'[1]US'!E3</f>
        <v>-553</v>
      </c>
      <c r="D3" s="13">
        <f>F3-'[1]US'!F3</f>
        <v>-95</v>
      </c>
      <c r="E3" s="149">
        <v>781</v>
      </c>
      <c r="F3" s="13">
        <v>534</v>
      </c>
      <c r="G3" s="13">
        <v>686</v>
      </c>
      <c r="H3" s="13">
        <v>534</v>
      </c>
      <c r="I3" s="13">
        <v>172</v>
      </c>
      <c r="J3" s="13">
        <v>324</v>
      </c>
      <c r="K3" s="13">
        <v>286</v>
      </c>
      <c r="L3" s="13">
        <v>343</v>
      </c>
      <c r="M3" s="13">
        <v>0</v>
      </c>
      <c r="N3" s="13">
        <v>76</v>
      </c>
      <c r="O3" s="13">
        <v>76.22504537205081</v>
      </c>
      <c r="P3" s="13">
        <v>266.7876588021779</v>
      </c>
      <c r="Q3" s="13">
        <v>323.95644283121595</v>
      </c>
      <c r="R3" s="13">
        <v>0</v>
      </c>
      <c r="S3" s="37">
        <v>228.67513611615246</v>
      </c>
      <c r="W3" s="13"/>
      <c r="X3" s="46"/>
    </row>
    <row r="4" spans="1:24" ht="12.75">
      <c r="A4" s="27" t="s">
        <v>50</v>
      </c>
      <c r="B4" s="35">
        <f t="shared" si="0"/>
        <v>-0.060897435897435896</v>
      </c>
      <c r="C4" s="64">
        <f>E4-'[1]US'!E4</f>
        <v>-3716</v>
      </c>
      <c r="D4" s="13">
        <f>F4-'[1]US'!F4</f>
        <v>2496</v>
      </c>
      <c r="E4" s="149">
        <v>2344</v>
      </c>
      <c r="F4" s="13">
        <v>2496</v>
      </c>
      <c r="G4" s="13">
        <v>3011</v>
      </c>
      <c r="H4" s="13">
        <v>2172</v>
      </c>
      <c r="I4" s="13">
        <v>1505</v>
      </c>
      <c r="J4" s="13">
        <v>1067</v>
      </c>
      <c r="K4" s="13">
        <v>2496</v>
      </c>
      <c r="L4" s="13">
        <v>1353</v>
      </c>
      <c r="M4" s="13">
        <v>0</v>
      </c>
      <c r="N4" s="13">
        <v>991</v>
      </c>
      <c r="O4" s="13">
        <v>914.7005444646098</v>
      </c>
      <c r="P4" s="13">
        <v>3239.5644283121596</v>
      </c>
      <c r="Q4" s="13">
        <v>3944.64609800363</v>
      </c>
      <c r="R4" s="13">
        <v>2553.5390199637022</v>
      </c>
      <c r="S4" s="37">
        <v>3544.464609800363</v>
      </c>
      <c r="W4" s="13"/>
      <c r="X4" s="46"/>
    </row>
    <row r="5" spans="1:24" ht="12.75">
      <c r="A5" s="27" t="s">
        <v>12</v>
      </c>
      <c r="B5" s="35">
        <f t="shared" si="0"/>
        <v>-0.13992522650978456</v>
      </c>
      <c r="C5" s="64">
        <f>E5-'[1]US'!E5</f>
        <v>72680</v>
      </c>
      <c r="D5" s="13">
        <f>F5-'[1]US'!F5</f>
        <v>84858</v>
      </c>
      <c r="E5" s="149">
        <v>76606</v>
      </c>
      <c r="F5" s="13">
        <v>89069</v>
      </c>
      <c r="G5" s="13">
        <v>63495</v>
      </c>
      <c r="H5" s="13">
        <v>77254</v>
      </c>
      <c r="I5" s="13">
        <v>52481</v>
      </c>
      <c r="J5" s="13">
        <v>38856</v>
      </c>
      <c r="K5" s="13">
        <v>56750</v>
      </c>
      <c r="L5" s="13">
        <v>40533</v>
      </c>
      <c r="M5" s="13">
        <v>59722</v>
      </c>
      <c r="N5" s="13">
        <v>33120</v>
      </c>
      <c r="O5" s="13">
        <v>53033.57531760436</v>
      </c>
      <c r="P5" s="13">
        <v>31233.21234119782</v>
      </c>
      <c r="Q5" s="13">
        <v>49927.40471869329</v>
      </c>
      <c r="R5" s="13">
        <v>21152.450090744103</v>
      </c>
      <c r="S5" s="37">
        <v>21571.687840290382</v>
      </c>
      <c r="W5" s="13"/>
      <c r="X5" s="46"/>
    </row>
    <row r="6" spans="1:24" ht="12.75">
      <c r="A6" s="27" t="s">
        <v>9</v>
      </c>
      <c r="B6" s="35">
        <f t="shared" si="0"/>
        <v>-0.26870780416410933</v>
      </c>
      <c r="C6" s="64">
        <f>E6-'[1]US'!E6</f>
        <v>-12901</v>
      </c>
      <c r="D6" s="13">
        <f>F6-'[1]US'!F6</f>
        <v>10157</v>
      </c>
      <c r="E6" s="149">
        <v>92937</v>
      </c>
      <c r="F6" s="13">
        <v>127086</v>
      </c>
      <c r="G6" s="13">
        <v>99493</v>
      </c>
      <c r="H6" s="13">
        <v>92309</v>
      </c>
      <c r="I6" s="13">
        <v>75653</v>
      </c>
      <c r="J6" s="13">
        <v>46040</v>
      </c>
      <c r="K6" s="13">
        <v>77978</v>
      </c>
      <c r="L6" s="13">
        <v>43868</v>
      </c>
      <c r="M6" s="13">
        <v>52691</v>
      </c>
      <c r="N6" s="13">
        <v>33253</v>
      </c>
      <c r="O6" s="13">
        <v>27993.647912885663</v>
      </c>
      <c r="P6" s="13">
        <v>31785.84392014519</v>
      </c>
      <c r="Q6" s="13">
        <v>22505.444646098003</v>
      </c>
      <c r="R6" s="13">
        <v>9718.693284936478</v>
      </c>
      <c r="S6" s="37">
        <v>8727.76769509982</v>
      </c>
      <c r="W6" s="13"/>
      <c r="X6" s="46"/>
    </row>
    <row r="7" spans="1:24" ht="12.75">
      <c r="A7" s="27" t="s">
        <v>3</v>
      </c>
      <c r="B7" s="35">
        <f t="shared" si="0"/>
        <v>-0.5888210129088906</v>
      </c>
      <c r="C7" s="64">
        <f>E7-'[1]US'!E7</f>
        <v>-109840</v>
      </c>
      <c r="D7" s="13">
        <f>F7-'[1]US'!F7</f>
        <v>-128592</v>
      </c>
      <c r="E7" s="149">
        <v>22010</v>
      </c>
      <c r="F7" s="13">
        <v>53529</v>
      </c>
      <c r="G7" s="13">
        <v>19838</v>
      </c>
      <c r="H7" s="13">
        <v>39389</v>
      </c>
      <c r="I7" s="13">
        <v>27860</v>
      </c>
      <c r="J7" s="13">
        <v>37922</v>
      </c>
      <c r="K7" s="13">
        <v>64505</v>
      </c>
      <c r="L7" s="13">
        <v>54082</v>
      </c>
      <c r="M7" s="13">
        <v>59894</v>
      </c>
      <c r="N7" s="13">
        <v>46192</v>
      </c>
      <c r="O7" s="13">
        <v>50079.854809437384</v>
      </c>
      <c r="P7" s="13">
        <v>55911.07078039928</v>
      </c>
      <c r="Q7" s="13">
        <v>72623.41197822141</v>
      </c>
      <c r="R7" s="13">
        <v>52766.787658802175</v>
      </c>
      <c r="S7" s="37">
        <v>36054.446460980034</v>
      </c>
      <c r="W7" s="13"/>
      <c r="X7" s="46"/>
    </row>
    <row r="8" spans="1:24" ht="12.75">
      <c r="A8" s="27" t="s">
        <v>17</v>
      </c>
      <c r="B8" s="35">
        <f t="shared" si="0"/>
        <v>-0.41562902965828497</v>
      </c>
      <c r="C8" s="64">
        <f>E8-'[1]US'!E8</f>
        <v>25154</v>
      </c>
      <c r="D8" s="13">
        <f>F8-'[1]US'!F8</f>
        <v>28375</v>
      </c>
      <c r="E8" s="149">
        <v>58007</v>
      </c>
      <c r="F8" s="13">
        <v>99264</v>
      </c>
      <c r="G8" s="13">
        <v>71061</v>
      </c>
      <c r="H8" s="13">
        <v>124056</v>
      </c>
      <c r="I8" s="13">
        <v>40342</v>
      </c>
      <c r="J8" s="13">
        <v>88516</v>
      </c>
      <c r="K8" s="13">
        <v>72947</v>
      </c>
      <c r="L8" s="13">
        <v>77597</v>
      </c>
      <c r="M8" s="13">
        <v>55397</v>
      </c>
      <c r="N8" s="13">
        <v>54406</v>
      </c>
      <c r="O8" s="13">
        <v>54843.92014519056</v>
      </c>
      <c r="P8" s="13">
        <v>50537.205081669694</v>
      </c>
      <c r="Q8" s="13">
        <v>81522.68602540834</v>
      </c>
      <c r="R8" s="13">
        <v>40323.049001814885</v>
      </c>
      <c r="S8" s="37">
        <v>51185.117967332124</v>
      </c>
      <c r="W8" s="13"/>
      <c r="X8" s="46"/>
    </row>
    <row r="9" spans="1:24" ht="12.75">
      <c r="A9" s="27" t="s">
        <v>159</v>
      </c>
      <c r="B9" s="35">
        <f t="shared" si="0"/>
        <v>0.3599688512647894</v>
      </c>
      <c r="C9" s="64">
        <f>E9-'[1]US'!E9</f>
        <v>-26907</v>
      </c>
      <c r="D9" s="13">
        <f>F9-'[1]US'!F9</f>
        <v>-87830</v>
      </c>
      <c r="E9" s="149">
        <v>54139</v>
      </c>
      <c r="F9" s="13">
        <v>39809</v>
      </c>
      <c r="G9" s="13">
        <v>35368</v>
      </c>
      <c r="H9" s="13">
        <v>27765</v>
      </c>
      <c r="I9" s="13">
        <v>6041</v>
      </c>
      <c r="J9" s="13">
        <v>12272</v>
      </c>
      <c r="K9" s="13">
        <v>2096</v>
      </c>
      <c r="L9" s="13">
        <v>191</v>
      </c>
      <c r="M9" s="13">
        <v>0</v>
      </c>
      <c r="N9" s="13"/>
      <c r="O9" s="13"/>
      <c r="P9" s="13"/>
      <c r="Q9" s="13"/>
      <c r="R9" s="13"/>
      <c r="S9" s="37"/>
      <c r="W9" s="13"/>
      <c r="X9" s="46"/>
    </row>
    <row r="10" spans="1:24" ht="12.75">
      <c r="A10" s="28" t="s">
        <v>10</v>
      </c>
      <c r="B10" s="35">
        <f t="shared" si="0"/>
        <v>-0.38271604938271603</v>
      </c>
      <c r="C10" s="64">
        <f>E10-'[1]US'!E10</f>
        <v>-76911</v>
      </c>
      <c r="D10" s="13">
        <f>F10-'[1]US'!F10</f>
        <v>-59493</v>
      </c>
      <c r="E10" s="149">
        <v>800</v>
      </c>
      <c r="F10" s="13">
        <v>1296</v>
      </c>
      <c r="G10" s="13">
        <v>172</v>
      </c>
      <c r="H10" s="13">
        <v>953</v>
      </c>
      <c r="I10" s="110">
        <v>1563</v>
      </c>
      <c r="J10" s="110">
        <v>800</v>
      </c>
      <c r="K10" s="110">
        <v>1906</v>
      </c>
      <c r="L10" s="110">
        <v>1868</v>
      </c>
      <c r="M10" s="110">
        <v>76</v>
      </c>
      <c r="N10" s="110">
        <v>2249</v>
      </c>
      <c r="O10" s="110">
        <v>76.22504537205081</v>
      </c>
      <c r="P10" s="110">
        <v>2286.7513611615245</v>
      </c>
      <c r="Q10" s="110">
        <v>1276.7695099818511</v>
      </c>
      <c r="R10" s="13">
        <v>381.1252268602541</v>
      </c>
      <c r="S10" s="37">
        <v>914.7005444646098</v>
      </c>
      <c r="W10" s="13"/>
      <c r="X10" s="46"/>
    </row>
    <row r="11" spans="1:24" ht="12.75">
      <c r="A11" s="28" t="s">
        <v>27</v>
      </c>
      <c r="B11" s="35"/>
      <c r="C11" s="64">
        <f>E11-'[1]US'!E11</f>
        <v>-743</v>
      </c>
      <c r="D11" s="13">
        <f>F11-'[1]US'!F11</f>
        <v>-1334</v>
      </c>
      <c r="E11" s="149"/>
      <c r="F11" s="13"/>
      <c r="G11" s="13">
        <v>1162</v>
      </c>
      <c r="H11" s="13">
        <v>2134</v>
      </c>
      <c r="I11" s="110">
        <v>2401</v>
      </c>
      <c r="J11" s="110">
        <v>286</v>
      </c>
      <c r="K11" s="110">
        <v>2153</v>
      </c>
      <c r="L11" s="110">
        <v>1620</v>
      </c>
      <c r="M11" s="110">
        <v>1201</v>
      </c>
      <c r="N11" s="110">
        <v>1505</v>
      </c>
      <c r="O11" s="110">
        <v>2210.5263157894738</v>
      </c>
      <c r="P11" s="110">
        <v>1181.4882032667877</v>
      </c>
      <c r="Q11" s="110">
        <v>876.5880217785844</v>
      </c>
      <c r="R11" s="13">
        <v>95.28130671506352</v>
      </c>
      <c r="S11" s="37">
        <v>1029.038112522686</v>
      </c>
      <c r="W11" s="13"/>
      <c r="X11" s="46"/>
    </row>
    <row r="12" spans="1:24" ht="12.75">
      <c r="A12" s="28" t="s">
        <v>51</v>
      </c>
      <c r="B12" s="35">
        <f t="shared" si="0"/>
        <v>0.2932330827067669</v>
      </c>
      <c r="C12" s="64">
        <f>E12-'[1]US'!E12</f>
        <v>172</v>
      </c>
      <c r="D12" s="13">
        <f>F12-'[1]US'!F12</f>
        <v>133</v>
      </c>
      <c r="E12" s="149">
        <v>172</v>
      </c>
      <c r="F12" s="13">
        <v>133</v>
      </c>
      <c r="G12" s="13">
        <v>610</v>
      </c>
      <c r="H12" s="13">
        <v>705</v>
      </c>
      <c r="I12" s="110">
        <v>95</v>
      </c>
      <c r="J12" s="110">
        <v>57</v>
      </c>
      <c r="K12" s="110">
        <v>534</v>
      </c>
      <c r="L12" s="110">
        <v>400</v>
      </c>
      <c r="M12" s="110">
        <v>0</v>
      </c>
      <c r="N12" s="110">
        <v>534</v>
      </c>
      <c r="O12" s="110">
        <v>171.50635208711435</v>
      </c>
      <c r="P12" s="110">
        <v>1676.950998185118</v>
      </c>
      <c r="Q12" s="110">
        <v>57.168784029038115</v>
      </c>
      <c r="R12" s="13">
        <v>0</v>
      </c>
      <c r="S12" s="37">
        <v>76.22504537205081</v>
      </c>
      <c r="W12" s="13"/>
      <c r="X12" s="46"/>
    </row>
    <row r="13" spans="1:24" ht="12.75">
      <c r="A13" s="28" t="s">
        <v>52</v>
      </c>
      <c r="B13" s="35">
        <f t="shared" si="0"/>
        <v>-0.19918492103922567</v>
      </c>
      <c r="C13" s="64">
        <f>E13-'[1]US'!E13</f>
        <v>2629</v>
      </c>
      <c r="D13" s="13">
        <f>F13-'[1]US'!F13</f>
        <v>3507</v>
      </c>
      <c r="E13" s="149">
        <v>3144</v>
      </c>
      <c r="F13" s="13">
        <v>3926</v>
      </c>
      <c r="G13" s="13">
        <v>5755</v>
      </c>
      <c r="H13" s="13">
        <v>2725</v>
      </c>
      <c r="I13" s="110">
        <v>2611</v>
      </c>
      <c r="J13" s="110">
        <v>4974</v>
      </c>
      <c r="K13" s="110">
        <v>4554</v>
      </c>
      <c r="L13" s="110">
        <v>5393</v>
      </c>
      <c r="M13" s="110">
        <v>0</v>
      </c>
      <c r="N13" s="110">
        <v>1258</v>
      </c>
      <c r="O13" s="110">
        <v>57.168784029038115</v>
      </c>
      <c r="P13" s="110">
        <v>6383.847549909256</v>
      </c>
      <c r="Q13" s="110">
        <v>4154.264972776769</v>
      </c>
      <c r="R13" s="13">
        <v>1410.1633393829402</v>
      </c>
      <c r="S13" s="37">
        <v>1867.513611615245</v>
      </c>
      <c r="W13" s="13"/>
      <c r="X13" s="46"/>
    </row>
    <row r="14" spans="1:24" ht="12.75">
      <c r="A14" s="28" t="s">
        <v>53</v>
      </c>
      <c r="B14" s="35">
        <f t="shared" si="0"/>
        <v>-0.052486187845303865</v>
      </c>
      <c r="C14" s="64">
        <f>E14-'[1]US'!E14</f>
        <v>-5431</v>
      </c>
      <c r="D14" s="13">
        <f>F14-'[1]US'!F14</f>
        <v>-6384</v>
      </c>
      <c r="E14" s="149">
        <v>343</v>
      </c>
      <c r="F14" s="13">
        <v>362</v>
      </c>
      <c r="G14" s="13">
        <v>438</v>
      </c>
      <c r="H14" s="13">
        <v>1239</v>
      </c>
      <c r="I14" s="110">
        <v>858</v>
      </c>
      <c r="J14" s="110">
        <v>248</v>
      </c>
      <c r="K14" s="110">
        <v>476</v>
      </c>
      <c r="L14" s="110">
        <v>838</v>
      </c>
      <c r="M14" s="110">
        <v>38</v>
      </c>
      <c r="N14" s="110">
        <v>648</v>
      </c>
      <c r="O14" s="110">
        <v>1181.4882032667877</v>
      </c>
      <c r="P14" s="110">
        <v>2000.907441016334</v>
      </c>
      <c r="Q14" s="110">
        <v>1638.8384754990925</v>
      </c>
      <c r="R14" s="13">
        <v>2248.638838475499</v>
      </c>
      <c r="S14" s="37">
        <v>1181.4882032667877</v>
      </c>
      <c r="W14" s="13"/>
      <c r="X14" s="46"/>
    </row>
    <row r="15" spans="1:24" ht="12.75">
      <c r="A15" s="28" t="s">
        <v>54</v>
      </c>
      <c r="B15" s="35">
        <f t="shared" si="0"/>
        <v>0.39790575916230364</v>
      </c>
      <c r="C15" s="64">
        <f>E15-'[1]US'!E15</f>
        <v>38</v>
      </c>
      <c r="D15" s="13">
        <f>F15-'[1]US'!F15</f>
        <v>-304</v>
      </c>
      <c r="E15" s="149">
        <v>267</v>
      </c>
      <c r="F15" s="13">
        <v>191</v>
      </c>
      <c r="G15" s="13">
        <v>172</v>
      </c>
      <c r="H15" s="13">
        <v>0</v>
      </c>
      <c r="I15" s="110">
        <v>0</v>
      </c>
      <c r="J15" s="110">
        <v>0</v>
      </c>
      <c r="K15" s="110">
        <v>0</v>
      </c>
      <c r="L15" s="110">
        <v>114</v>
      </c>
      <c r="M15" s="110">
        <v>0</v>
      </c>
      <c r="N15" s="110">
        <v>324</v>
      </c>
      <c r="O15" s="110">
        <v>647.9128856624319</v>
      </c>
      <c r="P15" s="110">
        <v>0</v>
      </c>
      <c r="Q15" s="110">
        <v>76.22504537205081</v>
      </c>
      <c r="R15" s="13">
        <v>0</v>
      </c>
      <c r="S15" s="37">
        <v>0</v>
      </c>
      <c r="W15" s="13"/>
      <c r="X15" s="46"/>
    </row>
    <row r="16" spans="1:24" ht="12.75">
      <c r="A16" s="28" t="s">
        <v>55</v>
      </c>
      <c r="B16" s="35"/>
      <c r="C16" s="64">
        <f>E16-'[1]US'!E16</f>
        <v>-362</v>
      </c>
      <c r="D16" s="13">
        <f>F16-'[1]US'!F16</f>
        <v>-229</v>
      </c>
      <c r="E16" s="149"/>
      <c r="F16" s="13"/>
      <c r="G16" s="13"/>
      <c r="H16" s="13">
        <v>0</v>
      </c>
      <c r="I16" s="110">
        <v>0</v>
      </c>
      <c r="J16" s="110">
        <v>0</v>
      </c>
      <c r="K16" s="110">
        <v>0</v>
      </c>
      <c r="L16" s="110">
        <v>95</v>
      </c>
      <c r="M16" s="110">
        <v>19</v>
      </c>
      <c r="N16" s="110">
        <v>0</v>
      </c>
      <c r="O16" s="110">
        <v>0</v>
      </c>
      <c r="P16" s="110">
        <v>19.056261343012704</v>
      </c>
      <c r="Q16" s="110">
        <v>0</v>
      </c>
      <c r="R16" s="13">
        <v>19.056261343012704</v>
      </c>
      <c r="S16" s="37">
        <v>0</v>
      </c>
      <c r="W16" s="13"/>
      <c r="X16" s="46"/>
    </row>
    <row r="17" spans="1:24" ht="12.75">
      <c r="A17" s="29" t="s">
        <v>22</v>
      </c>
      <c r="B17" s="35">
        <f t="shared" si="0"/>
        <v>0.2493024093132107</v>
      </c>
      <c r="C17" s="64">
        <f>E17-'[1]US'!E17</f>
        <v>41638</v>
      </c>
      <c r="D17" s="13">
        <f>F17-'[1]US'!F17</f>
        <v>33329</v>
      </c>
      <c r="E17" s="149">
        <v>41638</v>
      </c>
      <c r="F17" s="13">
        <v>33329</v>
      </c>
      <c r="G17" s="13">
        <v>31519</v>
      </c>
      <c r="H17" s="13">
        <v>24564</v>
      </c>
      <c r="I17" s="13">
        <v>31252</v>
      </c>
      <c r="J17" s="13">
        <v>18694</v>
      </c>
      <c r="K17" s="13">
        <v>18084</v>
      </c>
      <c r="L17" s="13">
        <v>9566</v>
      </c>
      <c r="M17" s="13">
        <v>8880</v>
      </c>
      <c r="N17" s="13">
        <v>5450</v>
      </c>
      <c r="O17" s="13">
        <v>6002.722323049002</v>
      </c>
      <c r="P17" s="13">
        <v>9642.468239564429</v>
      </c>
      <c r="Q17" s="13">
        <v>7412.885662431942</v>
      </c>
      <c r="R17" s="13">
        <v>6231.397459165154</v>
      </c>
      <c r="S17" s="37">
        <v>1467.3321234119783</v>
      </c>
      <c r="W17" s="13"/>
      <c r="X17" s="46"/>
    </row>
    <row r="18" spans="1:24" ht="12.75">
      <c r="A18" s="28" t="s">
        <v>19</v>
      </c>
      <c r="B18" s="35">
        <f t="shared" si="0"/>
        <v>-0.12029569038879222</v>
      </c>
      <c r="C18" s="64">
        <f>E18-'[1]US'!E18</f>
        <v>83829</v>
      </c>
      <c r="D18" s="13">
        <f>F18-'[1]US'!F18</f>
        <v>112222</v>
      </c>
      <c r="E18" s="149">
        <v>138520</v>
      </c>
      <c r="F18" s="13">
        <v>157462</v>
      </c>
      <c r="G18" s="13">
        <v>171449</v>
      </c>
      <c r="H18" s="13">
        <v>155804</v>
      </c>
      <c r="I18" s="110">
        <v>225436</v>
      </c>
      <c r="J18" s="110">
        <v>162607</v>
      </c>
      <c r="K18" s="110">
        <v>239937</v>
      </c>
      <c r="L18" s="110">
        <v>188771</v>
      </c>
      <c r="M18" s="110">
        <v>228294</v>
      </c>
      <c r="N18" s="110">
        <v>189743</v>
      </c>
      <c r="O18" s="110">
        <v>179128.85662431942</v>
      </c>
      <c r="P18" s="110">
        <v>215659.70961887477</v>
      </c>
      <c r="Q18" s="110">
        <v>201786.75136116153</v>
      </c>
      <c r="R18" s="13">
        <v>154165.15426497278</v>
      </c>
      <c r="S18" s="37">
        <v>184598.00362976408</v>
      </c>
      <c r="W18" s="13"/>
      <c r="X18" s="46"/>
    </row>
    <row r="19" spans="1:24" ht="12.75">
      <c r="A19" s="28" t="s">
        <v>56</v>
      </c>
      <c r="B19" s="35">
        <f t="shared" si="0"/>
        <v>-0.41753171856978083</v>
      </c>
      <c r="C19" s="64">
        <f>E19-'[1]US'!E19</f>
        <v>-175622</v>
      </c>
      <c r="D19" s="13">
        <f>F19-'[1]US'!F19</f>
        <v>-210972</v>
      </c>
      <c r="E19" s="149">
        <v>1010</v>
      </c>
      <c r="F19" s="13">
        <v>1734</v>
      </c>
      <c r="G19" s="13">
        <v>2706</v>
      </c>
      <c r="H19" s="13">
        <v>2496</v>
      </c>
      <c r="I19" s="110">
        <v>1353</v>
      </c>
      <c r="J19" s="110">
        <v>1925</v>
      </c>
      <c r="K19" s="110">
        <v>2458</v>
      </c>
      <c r="L19" s="110">
        <v>1505</v>
      </c>
      <c r="M19" s="110">
        <v>515</v>
      </c>
      <c r="N19" s="110">
        <v>1810</v>
      </c>
      <c r="O19" s="110">
        <v>419.2377495462795</v>
      </c>
      <c r="P19" s="110">
        <v>1886.5698729582577</v>
      </c>
      <c r="Q19" s="110">
        <v>1772.2323049001816</v>
      </c>
      <c r="R19" s="13">
        <v>5411.978221415608</v>
      </c>
      <c r="S19" s="37">
        <v>1295.8257713248638</v>
      </c>
      <c r="W19" s="13"/>
      <c r="X19" s="46"/>
    </row>
    <row r="20" spans="1:24" ht="12.75">
      <c r="A20" s="28" t="s">
        <v>57</v>
      </c>
      <c r="B20" s="35">
        <f t="shared" si="0"/>
        <v>-0.9095238095238095</v>
      </c>
      <c r="C20" s="64">
        <f>E20-'[1]US'!E20</f>
        <v>-286</v>
      </c>
      <c r="D20" s="13">
        <f>F20-'[1]US'!F20</f>
        <v>-2496</v>
      </c>
      <c r="E20" s="149">
        <v>19</v>
      </c>
      <c r="F20" s="13">
        <v>210</v>
      </c>
      <c r="G20" s="13">
        <v>19</v>
      </c>
      <c r="H20" s="13">
        <v>152</v>
      </c>
      <c r="I20" s="110">
        <v>76</v>
      </c>
      <c r="J20" s="110">
        <v>267</v>
      </c>
      <c r="K20" s="110">
        <v>305</v>
      </c>
      <c r="L20" s="110">
        <v>972</v>
      </c>
      <c r="M20" s="110">
        <v>0</v>
      </c>
      <c r="N20" s="110">
        <v>743</v>
      </c>
      <c r="O20" s="110">
        <v>343.0127041742287</v>
      </c>
      <c r="P20" s="110">
        <v>1562.6134301270417</v>
      </c>
      <c r="Q20" s="110">
        <v>533.5753176043557</v>
      </c>
      <c r="R20" s="13">
        <v>285.84392014519057</v>
      </c>
      <c r="S20" s="37">
        <v>1029.038112522686</v>
      </c>
      <c r="W20" s="13"/>
      <c r="X20" s="46"/>
    </row>
    <row r="21" spans="1:24" ht="12.75">
      <c r="A21" s="28" t="s">
        <v>35</v>
      </c>
      <c r="B21" s="35">
        <f t="shared" si="0"/>
        <v>5.3007518796992485</v>
      </c>
      <c r="C21" s="64">
        <f>E21-'[1]US'!E21</f>
        <v>647</v>
      </c>
      <c r="D21" s="13">
        <f>F21-'[1]US'!F21</f>
        <v>-77</v>
      </c>
      <c r="E21" s="149">
        <v>838</v>
      </c>
      <c r="F21" s="13">
        <v>133</v>
      </c>
      <c r="G21" s="13">
        <v>1734</v>
      </c>
      <c r="H21" s="13">
        <v>743</v>
      </c>
      <c r="I21" s="110">
        <v>534</v>
      </c>
      <c r="J21" s="110">
        <v>1334</v>
      </c>
      <c r="K21" s="110">
        <v>2134</v>
      </c>
      <c r="L21" s="110">
        <v>1582</v>
      </c>
      <c r="M21" s="110">
        <v>0</v>
      </c>
      <c r="N21" s="110">
        <v>781</v>
      </c>
      <c r="O21" s="110">
        <v>285.84392014519057</v>
      </c>
      <c r="P21" s="110">
        <v>2686.9328493647913</v>
      </c>
      <c r="Q21" s="110">
        <v>1753.176043557169</v>
      </c>
      <c r="R21" s="13">
        <v>552.6315789473684</v>
      </c>
      <c r="S21" s="37">
        <v>514.519056261343</v>
      </c>
      <c r="W21" s="13"/>
      <c r="X21" s="46"/>
    </row>
    <row r="22" spans="1:24" ht="12.75">
      <c r="A22" s="28" t="s">
        <v>21</v>
      </c>
      <c r="B22" s="35">
        <f t="shared" si="0"/>
        <v>0</v>
      </c>
      <c r="C22" s="64">
        <f>E22-'[1]US'!E22</f>
        <v>-1010</v>
      </c>
      <c r="D22" s="13">
        <f>F22-'[1]US'!F22</f>
        <v>-248</v>
      </c>
      <c r="E22" s="149">
        <v>38</v>
      </c>
      <c r="F22" s="13">
        <v>38</v>
      </c>
      <c r="G22" s="13">
        <v>133</v>
      </c>
      <c r="H22" s="13">
        <v>57</v>
      </c>
      <c r="I22" s="110">
        <v>0</v>
      </c>
      <c r="J22" s="110">
        <v>57</v>
      </c>
      <c r="K22" s="110">
        <v>191</v>
      </c>
      <c r="L22" s="110">
        <v>0</v>
      </c>
      <c r="M22" s="110">
        <v>0</v>
      </c>
      <c r="N22" s="110">
        <v>114</v>
      </c>
      <c r="O22" s="110">
        <v>38.11252268602541</v>
      </c>
      <c r="P22" s="110">
        <v>247.73139745916515</v>
      </c>
      <c r="Q22" s="110">
        <v>171.50635208711435</v>
      </c>
      <c r="R22" s="13">
        <v>0</v>
      </c>
      <c r="S22" s="37">
        <v>247.73139745916515</v>
      </c>
      <c r="W22" s="13"/>
      <c r="X22" s="46"/>
    </row>
    <row r="23" spans="1:24" ht="12.75">
      <c r="A23" s="28" t="s">
        <v>58</v>
      </c>
      <c r="B23" s="35"/>
      <c r="C23" s="64">
        <f>E23-'[1]US'!E23</f>
        <v>-57</v>
      </c>
      <c r="D23" s="13">
        <f>F23-'[1]US'!F23</f>
        <v>-57</v>
      </c>
      <c r="E23" s="149"/>
      <c r="F23" s="13"/>
      <c r="G23" s="13"/>
      <c r="H23" s="13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19.056261343012704</v>
      </c>
      <c r="R23" s="13">
        <v>0</v>
      </c>
      <c r="S23" s="37">
        <v>0</v>
      </c>
      <c r="W23" s="13"/>
      <c r="X23" s="46"/>
    </row>
    <row r="24" spans="1:24" ht="12.75">
      <c r="A24" s="28" t="s">
        <v>59</v>
      </c>
      <c r="B24" s="35">
        <f t="shared" si="0"/>
        <v>1.8105263157894738</v>
      </c>
      <c r="C24" s="64">
        <f>E24-'[1]US'!E24</f>
        <v>267</v>
      </c>
      <c r="D24" s="13">
        <f>F24-'[1]US'!F24</f>
        <v>95</v>
      </c>
      <c r="E24" s="149">
        <v>267</v>
      </c>
      <c r="F24" s="13">
        <v>95</v>
      </c>
      <c r="G24" s="13">
        <v>191</v>
      </c>
      <c r="H24" s="13">
        <v>0</v>
      </c>
      <c r="I24" s="110">
        <v>19</v>
      </c>
      <c r="J24" s="110">
        <v>38</v>
      </c>
      <c r="K24" s="110">
        <v>19</v>
      </c>
      <c r="L24" s="110">
        <v>0</v>
      </c>
      <c r="M24" s="110">
        <v>0</v>
      </c>
      <c r="N24" s="110">
        <v>95</v>
      </c>
      <c r="O24" s="110">
        <v>0</v>
      </c>
      <c r="P24" s="110">
        <v>0</v>
      </c>
      <c r="Q24" s="110">
        <v>19.056261343012704</v>
      </c>
      <c r="R24" s="13">
        <v>0</v>
      </c>
      <c r="S24" s="37">
        <v>0</v>
      </c>
      <c r="W24" s="13"/>
      <c r="X24" s="46"/>
    </row>
    <row r="25" spans="1:24" ht="13.5" thickBot="1">
      <c r="A25" s="28" t="s">
        <v>60</v>
      </c>
      <c r="B25" s="35">
        <f t="shared" si="0"/>
        <v>-0.13766750418760468</v>
      </c>
      <c r="C25" s="64">
        <f>E25-'[1]US'!E25</f>
        <v>32567</v>
      </c>
      <c r="D25" s="13">
        <f>F25-'[1]US'!F25</f>
        <v>38094</v>
      </c>
      <c r="E25" s="149">
        <f>7813+21991+3144</f>
        <v>32948</v>
      </c>
      <c r="F25" s="13">
        <f>28108+10100</f>
        <v>38208</v>
      </c>
      <c r="G25" s="13">
        <f>13606+6098</f>
        <v>19704</v>
      </c>
      <c r="H25" s="13">
        <v>45773</v>
      </c>
      <c r="I25" s="110">
        <v>12253</v>
      </c>
      <c r="J25" s="110">
        <v>16236</v>
      </c>
      <c r="K25" s="110">
        <v>12977</v>
      </c>
      <c r="L25" s="110">
        <v>18332</v>
      </c>
      <c r="M25" s="110">
        <v>7127</v>
      </c>
      <c r="N25" s="110">
        <v>1277</v>
      </c>
      <c r="O25" s="110">
        <v>4287.658802177859</v>
      </c>
      <c r="P25" s="110">
        <v>4668.784029038113</v>
      </c>
      <c r="Q25" s="110">
        <v>5812.159709618874</v>
      </c>
      <c r="R25" s="13">
        <v>1867.513611615245</v>
      </c>
      <c r="S25" s="37">
        <v>4897.459165154265</v>
      </c>
      <c r="W25" s="13"/>
      <c r="X25" s="46"/>
    </row>
    <row r="26" spans="1:19" ht="13.5" thickBot="1">
      <c r="A26" s="167" t="s">
        <v>23</v>
      </c>
      <c r="B26" s="168">
        <f t="shared" si="0"/>
        <v>-0.18824112192090187</v>
      </c>
      <c r="C26" s="88">
        <f>E26-'[1]US'!E26</f>
        <v>486829</v>
      </c>
      <c r="D26" s="122">
        <f>F26-'[1]US'!F26</f>
        <v>595184</v>
      </c>
      <c r="E26" s="59">
        <f>SUM(E2:E25)</f>
        <v>527666</v>
      </c>
      <c r="F26" s="122">
        <f>SUM(F2:F25)</f>
        <v>650028</v>
      </c>
      <c r="G26" s="122">
        <f>SUM(G2:G25)</f>
        <v>529478</v>
      </c>
      <c r="H26" s="122">
        <f>SUM(H2:H25)</f>
        <v>601148</v>
      </c>
      <c r="I26" s="122">
        <v>483000</v>
      </c>
      <c r="J26" s="122">
        <f>SUM(J2:J25)</f>
        <v>432558</v>
      </c>
      <c r="K26" s="122">
        <f>SUM(K2:K25)</f>
        <v>567779</v>
      </c>
      <c r="L26" s="122">
        <f>SUM(L2:L25)</f>
        <v>449099</v>
      </c>
      <c r="M26" s="122">
        <f>SUM(M2:M25)</f>
        <v>474407</v>
      </c>
      <c r="N26" s="122">
        <f aca="true" t="shared" si="1" ref="N26:S26">SUM(N2:N25)</f>
        <v>374988</v>
      </c>
      <c r="O26" s="122">
        <f t="shared" si="1"/>
        <v>386594.3738656987</v>
      </c>
      <c r="P26" s="122">
        <f t="shared" si="1"/>
        <v>425754.9909255898</v>
      </c>
      <c r="Q26" s="122">
        <f t="shared" si="1"/>
        <v>464991.833030853</v>
      </c>
      <c r="R26" s="122">
        <f t="shared" si="1"/>
        <v>300574.41016333934</v>
      </c>
      <c r="S26" s="169">
        <f t="shared" si="1"/>
        <v>322031.76043557166</v>
      </c>
    </row>
    <row r="27" spans="2:17" s="9" customFormat="1" ht="12.75">
      <c r="B27" s="44"/>
      <c r="C27" s="44"/>
      <c r="D27" s="44"/>
      <c r="E27" s="44"/>
      <c r="F27" s="44"/>
      <c r="G27" s="44"/>
      <c r="H27" s="44"/>
      <c r="I27" s="44"/>
      <c r="J27" s="12"/>
      <c r="K27" s="12"/>
      <c r="L27" s="12"/>
      <c r="M27" s="12"/>
      <c r="N27" s="12"/>
      <c r="O27" s="12"/>
      <c r="P27" s="12"/>
      <c r="Q27" s="12"/>
    </row>
    <row r="28" spans="2:17" s="9" customFormat="1" ht="13.5" thickBot="1">
      <c r="B28" s="44"/>
      <c r="C28" s="44"/>
      <c r="D28" s="44"/>
      <c r="E28" s="44"/>
      <c r="F28" s="44"/>
      <c r="G28" s="44"/>
      <c r="H28" s="44"/>
      <c r="I28" s="44"/>
      <c r="J28" s="12"/>
      <c r="K28" s="12"/>
      <c r="L28" s="12"/>
      <c r="M28" s="12"/>
      <c r="N28" s="12"/>
      <c r="O28" s="12"/>
      <c r="P28" s="12"/>
      <c r="Q28" s="12"/>
    </row>
    <row r="29" spans="1:19" s="16" customFormat="1" ht="13.5" thickBot="1">
      <c r="A29" s="31" t="s">
        <v>25</v>
      </c>
      <c r="B29" s="32" t="s">
        <v>173</v>
      </c>
      <c r="C29" s="63" t="s">
        <v>172</v>
      </c>
      <c r="D29" s="109" t="s">
        <v>171</v>
      </c>
      <c r="E29" s="148">
        <v>44348</v>
      </c>
      <c r="F29" s="161">
        <v>43983</v>
      </c>
      <c r="G29" s="161">
        <v>43617</v>
      </c>
      <c r="H29" s="161">
        <v>43252</v>
      </c>
      <c r="I29" s="33">
        <v>42887</v>
      </c>
      <c r="J29" s="33">
        <v>42522</v>
      </c>
      <c r="K29" s="33">
        <v>42156</v>
      </c>
      <c r="L29" s="33">
        <v>41791</v>
      </c>
      <c r="M29" s="33">
        <v>41426</v>
      </c>
      <c r="N29" s="33">
        <v>41061</v>
      </c>
      <c r="O29" s="33">
        <v>40695</v>
      </c>
      <c r="P29" s="33">
        <v>40330</v>
      </c>
      <c r="Q29" s="33">
        <v>39965</v>
      </c>
      <c r="R29" s="33">
        <v>39600</v>
      </c>
      <c r="S29" s="34">
        <v>39234</v>
      </c>
    </row>
    <row r="30" spans="1:19" ht="12.75">
      <c r="A30" s="27" t="s">
        <v>42</v>
      </c>
      <c r="B30" s="35">
        <f>(E30-F30)/F30</f>
        <v>-0.18297973011155477</v>
      </c>
      <c r="C30" s="64">
        <f>E30-'[1]US'!E30</f>
        <v>-27256.62</v>
      </c>
      <c r="D30" s="13">
        <f>F30-'[1]US'!F30</f>
        <v>-23070.78</v>
      </c>
      <c r="E30" s="149">
        <v>17060.38</v>
      </c>
      <c r="F30" s="13">
        <v>20881.22</v>
      </c>
      <c r="G30" s="13">
        <v>22687</v>
      </c>
      <c r="H30" s="13">
        <v>15547</v>
      </c>
      <c r="I30" s="110">
        <v>21776</v>
      </c>
      <c r="J30" s="90">
        <v>12223</v>
      </c>
      <c r="K30" s="90">
        <v>22607</v>
      </c>
      <c r="L30" s="90">
        <v>15106.58</v>
      </c>
      <c r="M30" s="90">
        <v>11496.02</v>
      </c>
      <c r="N30" s="90">
        <v>17882.68</v>
      </c>
      <c r="O30" s="13">
        <v>30161.36</v>
      </c>
      <c r="P30" s="13">
        <v>16106.2</v>
      </c>
      <c r="Q30" s="13">
        <v>14838.18</v>
      </c>
      <c r="R30" s="13">
        <v>30892.32</v>
      </c>
      <c r="S30" s="37">
        <v>20243</v>
      </c>
    </row>
    <row r="31" spans="1:19" ht="12.75">
      <c r="A31" s="27" t="s">
        <v>43</v>
      </c>
      <c r="B31" s="35">
        <f>(E31-F31)/F31</f>
        <v>2.041277258566978</v>
      </c>
      <c r="C31" s="64">
        <f>E31-'[1]US'!E31</f>
        <v>-28964.7</v>
      </c>
      <c r="D31" s="13">
        <f>F31-'[1]US'!F31</f>
        <v>-36204.72</v>
      </c>
      <c r="E31" s="149">
        <v>234.3</v>
      </c>
      <c r="F31" s="13">
        <v>77.04</v>
      </c>
      <c r="G31" s="13">
        <v>895</v>
      </c>
      <c r="H31" s="13">
        <v>2</v>
      </c>
      <c r="I31" s="110">
        <v>758</v>
      </c>
      <c r="J31" s="90">
        <v>314</v>
      </c>
      <c r="K31" s="90">
        <v>14</v>
      </c>
      <c r="L31" s="90">
        <v>1.88</v>
      </c>
      <c r="M31" s="90">
        <v>0</v>
      </c>
      <c r="N31" s="90">
        <v>117.16</v>
      </c>
      <c r="O31" s="13">
        <v>0</v>
      </c>
      <c r="P31" s="13">
        <v>0</v>
      </c>
      <c r="Q31" s="13">
        <v>20.04</v>
      </c>
      <c r="R31" s="13">
        <v>291.18</v>
      </c>
      <c r="S31" s="37">
        <v>141</v>
      </c>
    </row>
    <row r="32" spans="1:19" ht="12.75">
      <c r="A32" s="27" t="s">
        <v>44</v>
      </c>
      <c r="B32" s="35">
        <f>(E32-F32)/F32</f>
        <v>-0.6039118018682579</v>
      </c>
      <c r="C32" s="64">
        <f>E32-'[1]US'!E32</f>
        <v>-1041.34</v>
      </c>
      <c r="D32" s="13">
        <f>F32-'[1]US'!F32</f>
        <v>2209.3</v>
      </c>
      <c r="E32" s="149">
        <v>1084.64</v>
      </c>
      <c r="F32" s="13">
        <v>2738.38</v>
      </c>
      <c r="G32" s="13">
        <v>2176</v>
      </c>
      <c r="H32" s="13">
        <v>929</v>
      </c>
      <c r="I32" s="110">
        <v>3046</v>
      </c>
      <c r="J32" s="90">
        <v>195</v>
      </c>
      <c r="K32" s="90">
        <v>1825</v>
      </c>
      <c r="L32" s="90">
        <v>642.3</v>
      </c>
      <c r="M32" s="90">
        <v>78.66</v>
      </c>
      <c r="N32" s="90">
        <v>1065.4</v>
      </c>
      <c r="O32" s="13">
        <v>1301.78</v>
      </c>
      <c r="P32" s="13">
        <v>340.34</v>
      </c>
      <c r="Q32" s="13">
        <v>1512.6</v>
      </c>
      <c r="R32" s="13">
        <v>1802.92</v>
      </c>
      <c r="S32" s="37">
        <v>1098</v>
      </c>
    </row>
    <row r="33" spans="1:19" ht="12.75">
      <c r="A33" s="27" t="s">
        <v>45</v>
      </c>
      <c r="B33" s="35"/>
      <c r="C33" s="64">
        <f>E33-'[1]US'!E33</f>
        <v>-2851.34</v>
      </c>
      <c r="D33" s="13">
        <f>F33-'[1]US'!F33</f>
        <v>-4006.22</v>
      </c>
      <c r="E33" s="149">
        <v>0</v>
      </c>
      <c r="F33" s="13">
        <v>0</v>
      </c>
      <c r="G33" s="13">
        <v>0</v>
      </c>
      <c r="H33" s="13">
        <v>0</v>
      </c>
      <c r="I33" s="11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13">
        <v>0</v>
      </c>
      <c r="P33" s="13">
        <v>0</v>
      </c>
      <c r="Q33" s="13">
        <v>0</v>
      </c>
      <c r="R33" s="13">
        <v>0.2</v>
      </c>
      <c r="S33" s="37">
        <v>0</v>
      </c>
    </row>
    <row r="34" spans="1:19" ht="12.75">
      <c r="A34" s="27" t="s">
        <v>156</v>
      </c>
      <c r="B34" s="35"/>
      <c r="C34" s="64">
        <f>E34-'[1]US'!E34</f>
        <v>0</v>
      </c>
      <c r="D34" s="13">
        <f>F34-'[1]US'!F34</f>
        <v>0</v>
      </c>
      <c r="E34" s="149">
        <v>0</v>
      </c>
      <c r="F34" s="13">
        <v>0</v>
      </c>
      <c r="G34" s="13">
        <v>0</v>
      </c>
      <c r="H34" s="13">
        <v>0</v>
      </c>
      <c r="I34" s="11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13">
        <v>0</v>
      </c>
      <c r="P34" s="13"/>
      <c r="Q34" s="13"/>
      <c r="R34" s="13"/>
      <c r="S34" s="37"/>
    </row>
    <row r="35" spans="1:19" ht="12.75">
      <c r="A35" s="27" t="s">
        <v>46</v>
      </c>
      <c r="B35" s="35"/>
      <c r="C35" s="64">
        <f>E35-'[1]US'!E35</f>
        <v>0</v>
      </c>
      <c r="D35" s="13">
        <f>F35-'[1]US'!F35</f>
        <v>0</v>
      </c>
      <c r="E35" s="149">
        <v>0</v>
      </c>
      <c r="F35" s="13">
        <v>0</v>
      </c>
      <c r="G35" s="13">
        <v>0</v>
      </c>
      <c r="H35" s="13">
        <v>0</v>
      </c>
      <c r="I35" s="11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13">
        <v>0</v>
      </c>
      <c r="P35" s="13">
        <v>0</v>
      </c>
      <c r="Q35" s="13">
        <v>0</v>
      </c>
      <c r="R35" s="13">
        <v>0</v>
      </c>
      <c r="S35" s="37">
        <v>0</v>
      </c>
    </row>
    <row r="36" spans="1:19" ht="12.75">
      <c r="A36" s="27" t="s">
        <v>168</v>
      </c>
      <c r="B36" s="35"/>
      <c r="C36" s="64">
        <f>E36-'[1]US'!E36</f>
        <v>0</v>
      </c>
      <c r="D36" s="13">
        <f>F36-'[1]US'!F36</f>
        <v>0</v>
      </c>
      <c r="E36" s="149">
        <v>0</v>
      </c>
      <c r="F36" s="13">
        <v>0</v>
      </c>
      <c r="G36" s="13">
        <v>0</v>
      </c>
      <c r="H36" s="13">
        <v>0</v>
      </c>
      <c r="I36" s="110">
        <v>2</v>
      </c>
      <c r="J36" s="90"/>
      <c r="K36" s="90"/>
      <c r="L36" s="90"/>
      <c r="M36" s="90"/>
      <c r="N36" s="90"/>
      <c r="O36" s="13"/>
      <c r="P36" s="13"/>
      <c r="Q36" s="13"/>
      <c r="R36" s="13"/>
      <c r="S36" s="37"/>
    </row>
    <row r="37" spans="1:19" ht="12.75">
      <c r="A37" s="27" t="s">
        <v>47</v>
      </c>
      <c r="B37" s="35"/>
      <c r="C37" s="64">
        <f>E37-'[1]US'!E37</f>
        <v>0</v>
      </c>
      <c r="D37" s="13">
        <f>F37-'[1]US'!F37</f>
        <v>0</v>
      </c>
      <c r="E37" s="149">
        <v>0</v>
      </c>
      <c r="F37" s="13">
        <v>0</v>
      </c>
      <c r="G37" s="13">
        <v>0</v>
      </c>
      <c r="H37" s="13">
        <v>0</v>
      </c>
      <c r="I37" s="11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13">
        <v>0</v>
      </c>
      <c r="P37" s="13">
        <v>0</v>
      </c>
      <c r="Q37" s="13">
        <v>0</v>
      </c>
      <c r="R37" s="13">
        <v>0</v>
      </c>
      <c r="S37" s="37">
        <v>0</v>
      </c>
    </row>
    <row r="38" spans="1:19" ht="12.75">
      <c r="A38" s="27" t="s">
        <v>49</v>
      </c>
      <c r="B38" s="35"/>
      <c r="C38" s="64">
        <f>E38-'[1]US'!E38</f>
        <v>0</v>
      </c>
      <c r="D38" s="13">
        <f>F38-'[1]US'!F38</f>
        <v>0</v>
      </c>
      <c r="E38" s="149">
        <v>0</v>
      </c>
      <c r="F38" s="13">
        <v>0</v>
      </c>
      <c r="G38" s="13">
        <v>0</v>
      </c>
      <c r="H38" s="13">
        <v>0</v>
      </c>
      <c r="I38" s="110">
        <v>1</v>
      </c>
      <c r="J38" s="90">
        <v>28</v>
      </c>
      <c r="K38" s="90">
        <v>1</v>
      </c>
      <c r="L38" s="90">
        <v>0</v>
      </c>
      <c r="M38" s="90">
        <v>0</v>
      </c>
      <c r="N38" s="90">
        <v>0</v>
      </c>
      <c r="O38" s="13">
        <v>0</v>
      </c>
      <c r="P38" s="13">
        <v>0</v>
      </c>
      <c r="Q38" s="13">
        <v>0</v>
      </c>
      <c r="R38" s="13">
        <v>18.82</v>
      </c>
      <c r="S38" s="37">
        <v>110</v>
      </c>
    </row>
    <row r="39" spans="1:19" ht="13.5" thickBot="1">
      <c r="A39" s="38" t="s">
        <v>48</v>
      </c>
      <c r="B39" s="36"/>
      <c r="C39" s="65">
        <f>E39-'[1]US'!E39</f>
        <v>0</v>
      </c>
      <c r="D39" s="15">
        <f>F39-'[1]US'!F39</f>
        <v>0</v>
      </c>
      <c r="E39" s="150">
        <v>0</v>
      </c>
      <c r="F39" s="15">
        <v>0</v>
      </c>
      <c r="G39" s="15">
        <v>0</v>
      </c>
      <c r="H39" s="15">
        <v>0</v>
      </c>
      <c r="I39" s="111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/>
      <c r="R39" s="15"/>
      <c r="S39" s="39"/>
    </row>
    <row r="40" spans="1:19" ht="13.5" thickBot="1">
      <c r="A40" s="40" t="s">
        <v>23</v>
      </c>
      <c r="B40" s="41">
        <f>(E40-F40)/F40</f>
        <v>-0.22439130610922067</v>
      </c>
      <c r="C40" s="88">
        <f>E40-'[1]US'!E40</f>
        <v>18379.32</v>
      </c>
      <c r="D40" s="42">
        <f>F40-'[1]US'!F40</f>
        <v>23696.640000000003</v>
      </c>
      <c r="E40" s="135">
        <f aca="true" t="shared" si="2" ref="E40:L40">SUM(E30:E39)</f>
        <v>18379.32</v>
      </c>
      <c r="F40" s="42">
        <f t="shared" si="2"/>
        <v>23696.640000000003</v>
      </c>
      <c r="G40" s="42">
        <f t="shared" si="2"/>
        <v>25758</v>
      </c>
      <c r="H40" s="42">
        <f t="shared" si="2"/>
        <v>16478</v>
      </c>
      <c r="I40" s="42">
        <f t="shared" si="2"/>
        <v>25583</v>
      </c>
      <c r="J40" s="42">
        <f t="shared" si="2"/>
        <v>12760</v>
      </c>
      <c r="K40" s="42">
        <f t="shared" si="2"/>
        <v>24447</v>
      </c>
      <c r="L40" s="42">
        <f t="shared" si="2"/>
        <v>15750.759999999998</v>
      </c>
      <c r="M40" s="42">
        <f aca="true" t="shared" si="3" ref="M40:S40">SUM(M30:M39)</f>
        <v>11574.68</v>
      </c>
      <c r="N40" s="42">
        <f t="shared" si="3"/>
        <v>19065.24</v>
      </c>
      <c r="O40" s="42">
        <f t="shared" si="3"/>
        <v>31463.14</v>
      </c>
      <c r="P40" s="42">
        <f t="shared" si="3"/>
        <v>16446.54</v>
      </c>
      <c r="Q40" s="42">
        <f t="shared" si="3"/>
        <v>16370.820000000002</v>
      </c>
      <c r="R40" s="42">
        <f t="shared" si="3"/>
        <v>33005.439999999995</v>
      </c>
      <c r="S40" s="127">
        <f t="shared" si="3"/>
        <v>21592</v>
      </c>
    </row>
    <row r="42" ht="12.75">
      <c r="J42" s="13"/>
    </row>
    <row r="47" spans="18:20" ht="18">
      <c r="R47" s="5"/>
      <c r="S47" s="1"/>
      <c r="T47" s="1"/>
    </row>
    <row r="48" spans="18:20" ht="18">
      <c r="R48" s="5"/>
      <c r="S48" s="1"/>
      <c r="T48" s="1"/>
    </row>
    <row r="49" spans="18:20" ht="18">
      <c r="R49" s="5"/>
      <c r="S49" s="1"/>
      <c r="T49" s="1"/>
    </row>
    <row r="50" spans="18:20" ht="18">
      <c r="R50" s="5"/>
      <c r="S50" s="1"/>
      <c r="T50" s="1"/>
    </row>
    <row r="51" spans="18:20" ht="18">
      <c r="R51" s="5"/>
      <c r="S51" s="1"/>
      <c r="T51" s="1"/>
    </row>
    <row r="52" spans="18:20" ht="18">
      <c r="R52" s="5"/>
      <c r="S52" s="1"/>
      <c r="T52" s="1"/>
    </row>
    <row r="53" spans="18:20" ht="18">
      <c r="R53" s="5"/>
      <c r="S53" s="1"/>
      <c r="T53" s="1"/>
    </row>
    <row r="54" spans="18:20" ht="18">
      <c r="R54" s="5"/>
      <c r="S54" s="1"/>
      <c r="T54" s="1"/>
    </row>
    <row r="55" spans="18:20" ht="18">
      <c r="R55" s="5"/>
      <c r="S55" s="1"/>
      <c r="T55" s="1"/>
    </row>
    <row r="56" spans="18:20" ht="18">
      <c r="R56" s="5"/>
      <c r="S56" s="1"/>
      <c r="T56" s="1"/>
    </row>
    <row r="57" spans="18:20" ht="18">
      <c r="R57" s="6"/>
      <c r="S57" s="1"/>
      <c r="T57" s="1"/>
    </row>
    <row r="58" spans="18:20" ht="18">
      <c r="R58" s="7"/>
      <c r="S58" s="2"/>
      <c r="T58" s="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="89" zoomScaleNormal="89" zoomScalePageLayoutView="0" workbookViewId="0" topLeftCell="A1">
      <selection activeCell="D23" sqref="D23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421875" style="16" bestFit="1" customWidth="1"/>
    <col min="4" max="7" width="11.7109375" style="12" customWidth="1"/>
    <col min="8" max="8" width="11.8515625" style="12" customWidth="1"/>
    <col min="9" max="17" width="10.140625" style="12" bestFit="1" customWidth="1"/>
    <col min="18" max="19" width="10.140625" style="0" bestFit="1" customWidth="1"/>
    <col min="20" max="20" width="9.140625" style="0" customWidth="1"/>
  </cols>
  <sheetData>
    <row r="1" spans="1:20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  <c r="T1" s="145" t="s">
        <v>154</v>
      </c>
    </row>
    <row r="2" spans="1:21" ht="12.75">
      <c r="A2" s="27" t="s">
        <v>8</v>
      </c>
      <c r="B2" s="35">
        <f>(E2-F2)/F2</f>
        <v>0.6713697246350079</v>
      </c>
      <c r="C2" s="64">
        <f>E2-'[1]EU - country'!E2</f>
        <v>-12614.979699999996</v>
      </c>
      <c r="D2" s="13">
        <f>F2-'[1]EU - country'!F2</f>
        <v>-8990.252539999998</v>
      </c>
      <c r="E2" s="149">
        <f>Austria!E$21</f>
        <v>33802.5</v>
      </c>
      <c r="F2" s="13">
        <f>Austria!F$21</f>
        <v>20224.430000000004</v>
      </c>
      <c r="G2" s="13">
        <f>Austria!G$21</f>
        <v>44922</v>
      </c>
      <c r="H2" s="13">
        <f>Austria!H$21</f>
        <v>11222</v>
      </c>
      <c r="I2" s="13">
        <f>Austria!I$21</f>
        <v>6282</v>
      </c>
      <c r="J2" s="13">
        <f>Austria!J$21</f>
        <v>42160</v>
      </c>
      <c r="K2" s="13">
        <f>Austria!K$21</f>
        <v>39345</v>
      </c>
      <c r="L2" s="13">
        <f>Austria!L$21</f>
        <v>40541</v>
      </c>
      <c r="M2" s="13">
        <f>Austria!M$21</f>
        <v>27673</v>
      </c>
      <c r="N2" s="13">
        <f>Austria!N$21</f>
        <v>42860</v>
      </c>
      <c r="O2" s="13">
        <f>Austria!O$21</f>
        <v>34582</v>
      </c>
      <c r="P2" s="13">
        <f>Austria!P$21</f>
        <v>41884</v>
      </c>
      <c r="Q2" s="13">
        <f>Austria!Q$21</f>
        <v>48073</v>
      </c>
      <c r="R2" s="13">
        <f>Austria!R$21</f>
        <v>24817</v>
      </c>
      <c r="S2" s="47">
        <f>Austria!S$21</f>
        <v>24834</v>
      </c>
      <c r="U2" s="3"/>
    </row>
    <row r="3" spans="1:19" ht="12.75">
      <c r="A3" s="27" t="s">
        <v>0</v>
      </c>
      <c r="B3" s="35">
        <f aca="true" t="shared" si="0" ref="B3:B15">(E3-F3)/F3</f>
        <v>-0.5256071752494206</v>
      </c>
      <c r="C3" s="64">
        <f>E3-'[1]EU - country'!E3</f>
        <v>-9056.604166974346</v>
      </c>
      <c r="D3" s="13">
        <f>F3-'[1]EU - country'!F3</f>
        <v>-11845</v>
      </c>
      <c r="E3" s="149">
        <f>Belgium!E$10</f>
        <v>23537</v>
      </c>
      <c r="F3" s="13">
        <f>Belgium!F$10</f>
        <v>49615</v>
      </c>
      <c r="G3" s="13">
        <f>Belgium!G$10</f>
        <v>38585</v>
      </c>
      <c r="H3" s="13">
        <f>Belgium!H$10</f>
        <v>1827</v>
      </c>
      <c r="I3" s="13">
        <f>Belgium!I$10</f>
        <v>19516</v>
      </c>
      <c r="J3" s="13">
        <f>Belgium!J$10</f>
        <v>41312</v>
      </c>
      <c r="K3" s="13">
        <f>Belgium!K$10</f>
        <v>46651</v>
      </c>
      <c r="L3" s="13">
        <f>Belgium!L$10</f>
        <v>20238</v>
      </c>
      <c r="M3" s="13">
        <f>Belgium!M$10</f>
        <v>8416</v>
      </c>
      <c r="N3" s="13">
        <f>Belgium!N$10</f>
        <v>19140</v>
      </c>
      <c r="O3" s="13">
        <f>Belgium!O$10</f>
        <v>34540</v>
      </c>
      <c r="P3" s="13">
        <f>Belgium!P$10</f>
        <v>65514</v>
      </c>
      <c r="Q3" s="13">
        <f>Belgium!Q$10</f>
        <v>92200</v>
      </c>
      <c r="R3" s="13">
        <f>Belgium!R$10</f>
        <v>98100</v>
      </c>
      <c r="S3" s="47">
        <f>Belgium!S$10</f>
        <v>67200</v>
      </c>
    </row>
    <row r="4" spans="1:21" ht="12.75">
      <c r="A4" s="27" t="s">
        <v>31</v>
      </c>
      <c r="B4" s="35">
        <f t="shared" si="0"/>
        <v>0.6701943844492441</v>
      </c>
      <c r="C4" s="64">
        <f>E4-'[1]EU - country'!E4</f>
        <v>-5887</v>
      </c>
      <c r="D4" s="13">
        <f>F4-'[1]EU - country'!F4</f>
        <v>-3274</v>
      </c>
      <c r="E4" s="149">
        <f>'Czech Republic'!E$12</f>
        <v>7733</v>
      </c>
      <c r="F4" s="13">
        <f>'Czech Republic'!F$12</f>
        <v>4630</v>
      </c>
      <c r="G4" s="13">
        <f>'Czech Republic'!G$12</f>
        <v>9738</v>
      </c>
      <c r="H4" s="13">
        <f>'Czech Republic'!H$12</f>
        <v>2668</v>
      </c>
      <c r="I4" s="13">
        <f>'Czech Republic'!I$12</f>
        <v>3662</v>
      </c>
      <c r="J4" s="13">
        <f>'Czech Republic'!J$12</f>
        <v>8285</v>
      </c>
      <c r="K4" s="13">
        <f>'Czech Republic'!K$12</f>
        <v>3161</v>
      </c>
      <c r="L4" s="13">
        <f>'Czech Republic'!L$12</f>
        <v>4096</v>
      </c>
      <c r="M4" s="13">
        <f>'Czech Republic'!M$12</f>
        <v>0</v>
      </c>
      <c r="N4" s="13">
        <f>'Czech Republic'!N$12</f>
        <v>0</v>
      </c>
      <c r="O4" s="13">
        <f>'Czech Republic'!O$12</f>
        <v>1545</v>
      </c>
      <c r="P4" s="13">
        <f>'Czech Republic'!P$12</f>
        <v>4706</v>
      </c>
      <c r="Q4" s="13">
        <f>'Czech Republic'!Q$12</f>
        <v>3917</v>
      </c>
      <c r="R4" s="13">
        <f>'Czech Republic'!R$12</f>
        <v>0</v>
      </c>
      <c r="S4" s="47">
        <f>'Czech Republic'!S$12</f>
        <v>3211</v>
      </c>
      <c r="U4" s="3"/>
    </row>
    <row r="5" spans="1:21" ht="12.75">
      <c r="A5" s="27" t="s">
        <v>41</v>
      </c>
      <c r="B5" s="35"/>
      <c r="C5" s="64">
        <f>E5-'[1]EU - country'!E5</f>
        <v>-325</v>
      </c>
      <c r="D5" s="13">
        <f>F5-'[1]EU - country'!F5</f>
        <v>0</v>
      </c>
      <c r="E5" s="149">
        <f>Denmark!E$19</f>
        <v>0</v>
      </c>
      <c r="F5" s="13">
        <f>Denmark!F$19</f>
        <v>0</v>
      </c>
      <c r="G5" s="13">
        <f>Denmark!G$19</f>
        <v>1464</v>
      </c>
      <c r="H5" s="13">
        <f>Denmark!H$19</f>
        <v>0</v>
      </c>
      <c r="I5" s="13">
        <f>Denmark!I$19</f>
        <v>580</v>
      </c>
      <c r="J5" s="13">
        <f>Denmark!J$19</f>
        <v>956</v>
      </c>
      <c r="K5" s="13">
        <f>Denmark!K$19</f>
        <v>0</v>
      </c>
      <c r="L5" s="13">
        <f>Denmark!L$19</f>
        <v>0</v>
      </c>
      <c r="M5" s="13">
        <f>Denmark!M$19</f>
        <v>0</v>
      </c>
      <c r="N5" s="13">
        <f>Denmark!N$19</f>
        <v>0</v>
      </c>
      <c r="O5" s="13">
        <f>Denmark!O$19</f>
        <v>0</v>
      </c>
      <c r="P5" s="13">
        <f>Denmark!P$19</f>
        <v>0</v>
      </c>
      <c r="Q5" s="13">
        <f>Denmark!Q$19</f>
        <v>0</v>
      </c>
      <c r="R5" s="13">
        <f>Denmark!R$19</f>
        <v>0</v>
      </c>
      <c r="S5" s="47">
        <f>Denmark!S$19</f>
        <v>0</v>
      </c>
      <c r="U5" s="3"/>
    </row>
    <row r="6" spans="1:21" ht="15">
      <c r="A6" s="54" t="s">
        <v>135</v>
      </c>
      <c r="B6" s="35">
        <f t="shared" si="0"/>
        <v>-0.4273992454012559</v>
      </c>
      <c r="C6" s="64">
        <f>E6-'[1]EU - country'!E6</f>
        <v>-70991</v>
      </c>
      <c r="D6" s="13">
        <f>F6-'[1]EU - country'!F6</f>
        <v>-77403</v>
      </c>
      <c r="E6" s="149">
        <f>France!E$26</f>
        <v>87719</v>
      </c>
      <c r="F6" s="13">
        <f>France!F$26</f>
        <v>153194</v>
      </c>
      <c r="G6" s="13">
        <f>France!G$26</f>
        <v>143478</v>
      </c>
      <c r="H6" s="13">
        <f>France!H$26</f>
        <v>81162</v>
      </c>
      <c r="I6" s="91">
        <f>France!I$26</f>
        <v>123894</v>
      </c>
      <c r="J6" s="91">
        <f>France!J$26</f>
        <v>120512</v>
      </c>
      <c r="K6" s="91">
        <f>France!K$26</f>
        <v>103904</v>
      </c>
      <c r="L6" s="91">
        <f>France!L$26</f>
        <v>155509</v>
      </c>
      <c r="M6" s="91">
        <f>France!M$26</f>
        <v>40682</v>
      </c>
      <c r="N6" s="91">
        <f>France!N$26</f>
        <v>90045</v>
      </c>
      <c r="O6" s="91">
        <f>France!O$26</f>
        <v>92624</v>
      </c>
      <c r="P6" s="91">
        <f>France!P$26</f>
        <v>122738</v>
      </c>
      <c r="Q6" s="133">
        <f>France!Q$26</f>
        <v>0</v>
      </c>
      <c r="R6" s="133">
        <f>France!R$26</f>
        <v>0</v>
      </c>
      <c r="S6" s="104">
        <f>France!S$26</f>
        <v>0</v>
      </c>
      <c r="U6" s="3"/>
    </row>
    <row r="7" spans="1:21" ht="12.75">
      <c r="A7" s="27" t="s">
        <v>28</v>
      </c>
      <c r="B7" s="35">
        <f t="shared" si="0"/>
        <v>0.5989705688267124</v>
      </c>
      <c r="C7" s="64">
        <f>E7-'[1]EU - country'!E7</f>
        <v>-36276</v>
      </c>
      <c r="D7" s="13">
        <f>F7-'[1]EU - country'!F7</f>
        <v>-33022</v>
      </c>
      <c r="E7" s="149">
        <f>Germany!E$21</f>
        <v>60577</v>
      </c>
      <c r="F7" s="13">
        <f>Germany!F$21</f>
        <v>37885</v>
      </c>
      <c r="G7" s="13">
        <f>Germany!G$21</f>
        <v>87391</v>
      </c>
      <c r="H7" s="13">
        <f>Germany!H$21</f>
        <v>25295</v>
      </c>
      <c r="I7" s="13">
        <f>Germany!I$21</f>
        <v>76611</v>
      </c>
      <c r="J7" s="13">
        <f>Germany!J$21</f>
        <v>70110</v>
      </c>
      <c r="K7" s="13">
        <f>Germany!K$21</f>
        <v>65957</v>
      </c>
      <c r="L7" s="13">
        <f>Germany!L$21</f>
        <v>60430</v>
      </c>
      <c r="M7" s="13">
        <f>Germany!M$21</f>
        <v>55397</v>
      </c>
      <c r="N7" s="13">
        <f>Germany!N$21</f>
        <v>55482</v>
      </c>
      <c r="O7" s="13">
        <f>Germany!O$21</f>
        <v>34799</v>
      </c>
      <c r="P7" s="13">
        <f>Germany!P$21</f>
        <v>59463</v>
      </c>
      <c r="Q7" s="13">
        <f>Germany!Q$21</f>
        <v>55541</v>
      </c>
      <c r="R7" s="13">
        <f>Germany!R$21</f>
        <v>29739</v>
      </c>
      <c r="S7" s="47">
        <f>Germany!S$21</f>
        <v>40724</v>
      </c>
      <c r="U7" s="3"/>
    </row>
    <row r="8" spans="1:19" ht="12.75">
      <c r="A8" s="27" t="s">
        <v>16</v>
      </c>
      <c r="B8" s="35">
        <f t="shared" si="0"/>
        <v>0.18447933616666978</v>
      </c>
      <c r="C8" s="64">
        <f>E8-'[1]EU - country'!E8</f>
        <v>-170848.03290000002</v>
      </c>
      <c r="D8" s="13">
        <f>F8-'[1]EU - country'!F8</f>
        <v>-145791.15999999997</v>
      </c>
      <c r="E8" s="149">
        <f>Italy!E$20</f>
        <v>244699.21709999998</v>
      </c>
      <c r="F8" s="13">
        <f>Italy!F$20</f>
        <v>206588</v>
      </c>
      <c r="G8" s="13">
        <f>Italy!G$20</f>
        <v>305460</v>
      </c>
      <c r="H8" s="13">
        <f>Italy!H$20</f>
        <v>68698.40000000001</v>
      </c>
      <c r="I8" s="13">
        <f>Italy!I$20</f>
        <v>270262</v>
      </c>
      <c r="J8" s="13">
        <f>Italy!J$20</f>
        <v>261969</v>
      </c>
      <c r="K8" s="13">
        <f>Italy!K$20</f>
        <v>257594</v>
      </c>
      <c r="L8" s="13">
        <f>Italy!L$20</f>
        <v>236941</v>
      </c>
      <c r="M8" s="13">
        <f>Italy!M$20</f>
        <v>136070</v>
      </c>
      <c r="N8" s="13">
        <f>Italy!N$20</f>
        <v>194164.00000000003</v>
      </c>
      <c r="O8" s="13">
        <f>Italy!O$20</f>
        <v>188539.00000000003</v>
      </c>
      <c r="P8" s="13">
        <f>Italy!P$20</f>
        <v>196811.96</v>
      </c>
      <c r="Q8" s="13">
        <f>Italy!Q$20</f>
        <v>224900.40000000002</v>
      </c>
      <c r="R8" s="13">
        <f>Italy!R$20</f>
        <v>123320</v>
      </c>
      <c r="S8" s="47">
        <f>Italy!S$20</f>
        <v>140692</v>
      </c>
    </row>
    <row r="9" spans="1:21" ht="12.75">
      <c r="A9" s="54" t="s">
        <v>32</v>
      </c>
      <c r="B9" s="35">
        <f t="shared" si="0"/>
        <v>3.086206896551724</v>
      </c>
      <c r="C9" s="64">
        <f>E9-'[1]EU - country'!E9</f>
        <v>-161000</v>
      </c>
      <c r="D9" s="13">
        <f>F9-'[1]EU - country'!F9</f>
        <v>-105000</v>
      </c>
      <c r="E9" s="149">
        <f>Poland!E$18</f>
        <v>237000</v>
      </c>
      <c r="F9" s="13">
        <f>Poland!F$18</f>
        <v>58000</v>
      </c>
      <c r="G9" s="13">
        <f>Poland!G$18</f>
        <v>238000</v>
      </c>
      <c r="H9" s="13">
        <f>Poland!H$18</f>
        <v>92000</v>
      </c>
      <c r="I9" s="91">
        <f>Poland!I$18</f>
        <v>144000</v>
      </c>
      <c r="J9" s="91">
        <f>Poland!J$18</f>
        <v>152000</v>
      </c>
      <c r="K9" s="91">
        <f>Poland!K$18</f>
        <v>104000</v>
      </c>
      <c r="L9" s="91">
        <f>Poland!L$18</f>
        <v>112000</v>
      </c>
      <c r="M9" s="91">
        <f>Poland!M$18</f>
        <v>56000</v>
      </c>
      <c r="N9" s="91">
        <f>Poland!N$18</f>
        <v>54000</v>
      </c>
      <c r="O9" s="91">
        <f>Poland!O$18</f>
        <v>15000</v>
      </c>
      <c r="P9" s="91">
        <f>Poland!P$18</f>
        <v>70000</v>
      </c>
      <c r="Q9" s="91">
        <f>Poland!Q$18</f>
        <v>25000</v>
      </c>
      <c r="R9" s="91">
        <f>Poland!R$18</f>
        <v>0</v>
      </c>
      <c r="S9" s="93">
        <f>Poland!S$18</f>
        <v>30000</v>
      </c>
      <c r="U9" s="3"/>
    </row>
    <row r="10" spans="1:21" ht="12.75">
      <c r="A10" s="27" t="s">
        <v>151</v>
      </c>
      <c r="B10" s="35"/>
      <c r="C10" s="64">
        <f>E10-'[1]EU - country'!E10</f>
        <v>0</v>
      </c>
      <c r="D10" s="13">
        <f>F10-'[1]EU - country'!F10</f>
        <v>0</v>
      </c>
      <c r="E10" s="14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47"/>
      <c r="U10" s="3"/>
    </row>
    <row r="11" spans="1:21" ht="12.75">
      <c r="A11" s="27" t="s">
        <v>38</v>
      </c>
      <c r="B11" s="35">
        <f t="shared" si="0"/>
        <v>-0.3831134108633223</v>
      </c>
      <c r="C11" s="64">
        <f>E11-'[1]EU - country'!E11</f>
        <v>-22995.123787361605</v>
      </c>
      <c r="D11" s="13">
        <f>F11-'[1]EU - country'!F11</f>
        <v>-34839.32182936407</v>
      </c>
      <c r="E11" s="149">
        <f>Spain!E$8</f>
        <v>42857.99939888637</v>
      </c>
      <c r="F11" s="13">
        <f>Spain!F$8</f>
        <v>69474.68165723202</v>
      </c>
      <c r="G11" s="13">
        <f>Spain!G$8</f>
        <v>53231</v>
      </c>
      <c r="H11" s="13">
        <f>Spain!H$8</f>
        <v>32543</v>
      </c>
      <c r="I11" s="13">
        <f>Spain!I$8</f>
        <v>69579</v>
      </c>
      <c r="J11" s="13">
        <f>Spain!J$8</f>
        <v>33883</v>
      </c>
      <c r="K11" s="13">
        <f>Spain!K$8</f>
        <v>38873.37442284744</v>
      </c>
      <c r="L11" s="13">
        <f>Spain!L$8</f>
        <v>43051.80236393893</v>
      </c>
      <c r="M11" s="13">
        <f>Spain!M$8</f>
        <v>15077.808781553598</v>
      </c>
      <c r="N11" s="13">
        <f>Spain!N$8</f>
        <v>40948</v>
      </c>
      <c r="O11" s="13">
        <f>Spain!O$8</f>
        <v>24079.430829880122</v>
      </c>
      <c r="P11" s="13">
        <f>Spain!P$8</f>
        <v>25949</v>
      </c>
      <c r="Q11" s="13">
        <f>Spain!Q$8</f>
        <v>45987</v>
      </c>
      <c r="R11" s="13">
        <f>Spain!R$8</f>
        <v>45862</v>
      </c>
      <c r="S11" s="47">
        <f>Spain!S$8</f>
        <v>40135</v>
      </c>
      <c r="U11" s="3"/>
    </row>
    <row r="12" spans="1:21" ht="12.75">
      <c r="A12" s="27" t="s">
        <v>61</v>
      </c>
      <c r="B12" s="35">
        <f t="shared" si="0"/>
        <v>0.28946286090318335</v>
      </c>
      <c r="C12" s="64">
        <f>E12-'[1]EU - country'!E12</f>
        <v>-7499</v>
      </c>
      <c r="D12" s="13">
        <f>F12-'[1]EU - country'!F12</f>
        <v>-7267</v>
      </c>
      <c r="E12" s="149">
        <f>Switzerland!E$19</f>
        <v>15676</v>
      </c>
      <c r="F12" s="13">
        <f>Switzerland!F$19</f>
        <v>12157</v>
      </c>
      <c r="G12" s="13">
        <f>Switzerland!G$19</f>
        <v>19228</v>
      </c>
      <c r="H12" s="13">
        <f>Switzerland!H$19</f>
        <v>3119</v>
      </c>
      <c r="I12" s="13">
        <f>Switzerland!I$19</f>
        <v>14633</v>
      </c>
      <c r="J12" s="13">
        <f>Switzerland!J$19</f>
        <v>13313</v>
      </c>
      <c r="K12" s="13">
        <f>Switzerland!K$19</f>
        <v>14687</v>
      </c>
      <c r="L12" s="13">
        <f>Switzerland!L$19</f>
        <v>15905</v>
      </c>
      <c r="M12" s="13">
        <f>Switzerland!M$19</f>
        <v>12375</v>
      </c>
      <c r="N12" s="13">
        <f>Switzerland!N$19</f>
        <v>17586</v>
      </c>
      <c r="O12" s="13">
        <f>Switzerland!O$19</f>
        <v>15797</v>
      </c>
      <c r="P12" s="13">
        <f>Switzerland!P$19</f>
        <v>16272</v>
      </c>
      <c r="Q12" s="13">
        <f>Switzerland!Q$19</f>
        <v>12311</v>
      </c>
      <c r="R12" s="13">
        <f>Switzerland!R$19</f>
        <v>12402</v>
      </c>
      <c r="S12" s="47">
        <f>Switzerland!S$19</f>
        <v>15651</v>
      </c>
      <c r="U12" s="3"/>
    </row>
    <row r="13" spans="1:19" ht="12.75">
      <c r="A13" s="27" t="s">
        <v>1</v>
      </c>
      <c r="B13" s="35">
        <f t="shared" si="0"/>
        <v>-0.31262939958592134</v>
      </c>
      <c r="C13" s="64">
        <f>E13-'[1]EU - country'!E13</f>
        <v>-16674</v>
      </c>
      <c r="D13" s="13">
        <f>F13-'[1]EU - country'!F13</f>
        <v>-28776</v>
      </c>
      <c r="E13" s="149">
        <f>Netherlands!E$8</f>
        <v>25896</v>
      </c>
      <c r="F13" s="13">
        <f>Netherlands!F$8</f>
        <v>37674</v>
      </c>
      <c r="G13" s="13">
        <f>Netherlands!G$8</f>
        <v>36550.617399999996</v>
      </c>
      <c r="H13" s="13">
        <f>Netherlands!H$8</f>
        <v>17697</v>
      </c>
      <c r="I13" s="13">
        <f>Netherlands!I$8</f>
        <v>56878</v>
      </c>
      <c r="J13" s="13">
        <f>Netherlands!J$8</f>
        <v>48294</v>
      </c>
      <c r="K13" s="13">
        <f>Netherlands!K$8</f>
        <v>61283</v>
      </c>
      <c r="L13" s="13">
        <f>Netherlands!L$8</f>
        <v>46000</v>
      </c>
      <c r="M13" s="13">
        <f>Netherlands!M$8</f>
        <v>33000</v>
      </c>
      <c r="N13" s="13">
        <f>Netherlands!N$8</f>
        <v>59000</v>
      </c>
      <c r="O13" s="13">
        <f>Netherlands!O$8</f>
        <v>36000</v>
      </c>
      <c r="P13" s="13">
        <f>Netherlands!P$8</f>
        <v>58000</v>
      </c>
      <c r="Q13" s="13">
        <f>Netherlands!Q$8</f>
        <v>47000</v>
      </c>
      <c r="R13" s="13">
        <f>Netherlands!R$8</f>
        <v>43000</v>
      </c>
      <c r="S13" s="47">
        <f>Netherlands!S$8</f>
        <v>44000</v>
      </c>
    </row>
    <row r="14" spans="1:19" ht="13.5" thickBot="1">
      <c r="A14" s="38" t="s">
        <v>36</v>
      </c>
      <c r="B14" s="36">
        <f t="shared" si="0"/>
        <v>0.14382111669753903</v>
      </c>
      <c r="C14" s="65">
        <f>E14-'[1]EU - country'!E14</f>
        <v>-10996</v>
      </c>
      <c r="D14" s="15">
        <f>F14-'[1]EU - country'!F14</f>
        <v>-12031</v>
      </c>
      <c r="E14" s="150">
        <f>UK!E$12</f>
        <v>8645</v>
      </c>
      <c r="F14" s="15">
        <f>UK!F$12</f>
        <v>7558</v>
      </c>
      <c r="G14" s="15">
        <f>UK!G$12</f>
        <v>7182</v>
      </c>
      <c r="H14" s="15">
        <f>UK!H$12</f>
        <v>6330</v>
      </c>
      <c r="I14" s="15">
        <f>UK!I$12</f>
        <v>0</v>
      </c>
      <c r="J14" s="15">
        <f>UK!J$12</f>
        <v>5230</v>
      </c>
      <c r="K14" s="15">
        <f>UK!K$12</f>
        <v>12000</v>
      </c>
      <c r="L14" s="15">
        <f>UK!L$12</f>
        <v>14300</v>
      </c>
      <c r="M14" s="15">
        <f>UK!M$12</f>
        <v>5000</v>
      </c>
      <c r="N14" s="15">
        <f>UK!N$12</f>
        <v>5000</v>
      </c>
      <c r="O14" s="15">
        <f>UK!O$12</f>
        <v>9000</v>
      </c>
      <c r="P14" s="15">
        <f>UK!P$12</f>
        <v>12000</v>
      </c>
      <c r="Q14" s="15">
        <f>UK!Q$12</f>
        <v>15000</v>
      </c>
      <c r="R14" s="15">
        <f>UK!R$12</f>
        <v>7000</v>
      </c>
      <c r="S14" s="48">
        <f>UK!S$12</f>
        <v>11000</v>
      </c>
    </row>
    <row r="15" spans="1:19" ht="13.5" thickBot="1">
      <c r="A15" s="40" t="s">
        <v>23</v>
      </c>
      <c r="B15" s="41">
        <f t="shared" si="0"/>
        <v>0.199608192623982</v>
      </c>
      <c r="C15" s="66">
        <f>E15-'[1]EU - country'!E15</f>
        <v>-525162.7405543359</v>
      </c>
      <c r="D15" s="42">
        <f>F15-'[1]EU - country'!F15</f>
        <v>-468238.7343693642</v>
      </c>
      <c r="E15" s="135">
        <f>SUM(E2:E14)</f>
        <v>788142.7164988864</v>
      </c>
      <c r="F15" s="42">
        <f>SUM(F2:F14)</f>
        <v>657000.1116572319</v>
      </c>
      <c r="G15" s="42">
        <f>SUM(G2:G14)</f>
        <v>985229.6174</v>
      </c>
      <c r="H15" s="42">
        <f>SUM(H2:H14)</f>
        <v>342561.4</v>
      </c>
      <c r="I15" s="42">
        <f aca="true" t="shared" si="1" ref="I15:S15">SUM(I2:I14)</f>
        <v>785897</v>
      </c>
      <c r="J15" s="42">
        <f t="shared" si="1"/>
        <v>798024</v>
      </c>
      <c r="K15" s="42">
        <f t="shared" si="1"/>
        <v>747455.3744228474</v>
      </c>
      <c r="L15" s="42">
        <f t="shared" si="1"/>
        <v>749011.8023639389</v>
      </c>
      <c r="M15" s="42">
        <f t="shared" si="1"/>
        <v>389690.8087815536</v>
      </c>
      <c r="N15" s="42">
        <f t="shared" si="1"/>
        <v>578225</v>
      </c>
      <c r="O15" s="42">
        <f t="shared" si="1"/>
        <v>486505.4308298801</v>
      </c>
      <c r="P15" s="42">
        <f t="shared" si="1"/>
        <v>673337.96</v>
      </c>
      <c r="Q15" s="42">
        <f t="shared" si="1"/>
        <v>569929.4</v>
      </c>
      <c r="R15" s="42">
        <f t="shared" si="1"/>
        <v>384240</v>
      </c>
      <c r="S15" s="49">
        <f t="shared" si="1"/>
        <v>417447</v>
      </c>
    </row>
    <row r="16" spans="1:19" s="9" customFormat="1" ht="12.75">
      <c r="A16" s="12"/>
      <c r="B16" s="44"/>
      <c r="C16" s="44"/>
      <c r="D16" s="44"/>
      <c r="E16" s="44"/>
      <c r="F16" s="44"/>
      <c r="G16" s="44"/>
      <c r="H16" s="44"/>
      <c r="I16" s="44"/>
      <c r="J16" s="12"/>
      <c r="K16" s="12"/>
      <c r="L16" s="12"/>
      <c r="M16" s="12"/>
      <c r="N16" s="12"/>
      <c r="O16" s="12"/>
      <c r="P16" s="12"/>
      <c r="Q16" s="12"/>
      <c r="R16" s="8"/>
      <c r="S16" s="8"/>
    </row>
    <row r="17" spans="1:19" s="9" customFormat="1" ht="13.5" thickBot="1">
      <c r="A17" s="12"/>
      <c r="B17" s="44"/>
      <c r="C17" s="44"/>
      <c r="D17" s="44"/>
      <c r="E17" s="44"/>
      <c r="F17" s="44"/>
      <c r="G17" s="44"/>
      <c r="H17" s="44"/>
      <c r="I17" s="44"/>
      <c r="J17" s="12"/>
      <c r="K17" s="12"/>
      <c r="L17" s="12"/>
      <c r="M17" s="12"/>
      <c r="N17" s="12"/>
      <c r="O17" s="12"/>
      <c r="P17" s="12"/>
      <c r="Q17" s="12"/>
      <c r="R17" s="8"/>
      <c r="S17" s="8"/>
    </row>
    <row r="18" spans="1:20" s="16" customFormat="1" ht="13.5" thickBot="1">
      <c r="A18" s="31" t="s">
        <v>25</v>
      </c>
      <c r="B18" s="32" t="s">
        <v>173</v>
      </c>
      <c r="C18" s="63" t="s">
        <v>172</v>
      </c>
      <c r="D18" s="109" t="s">
        <v>171</v>
      </c>
      <c r="E18" s="148">
        <v>44348</v>
      </c>
      <c r="F18" s="161">
        <v>43983</v>
      </c>
      <c r="G18" s="161">
        <v>43617</v>
      </c>
      <c r="H18" s="161">
        <v>43252</v>
      </c>
      <c r="I18" s="33">
        <v>42887</v>
      </c>
      <c r="J18" s="33">
        <v>42522</v>
      </c>
      <c r="K18" s="33">
        <v>42156</v>
      </c>
      <c r="L18" s="33">
        <v>41791</v>
      </c>
      <c r="M18" s="33">
        <v>41426</v>
      </c>
      <c r="N18" s="33">
        <v>41061</v>
      </c>
      <c r="O18" s="33">
        <v>40695</v>
      </c>
      <c r="P18" s="33">
        <v>40330</v>
      </c>
      <c r="Q18" s="33">
        <v>39965</v>
      </c>
      <c r="R18" s="33">
        <v>39600</v>
      </c>
      <c r="S18" s="34">
        <v>39234</v>
      </c>
      <c r="T18" s="12"/>
    </row>
    <row r="19" spans="1:19" ht="12.75">
      <c r="A19" s="27" t="s">
        <v>0</v>
      </c>
      <c r="B19" s="35">
        <f aca="true" t="shared" si="2" ref="B19:B31">(E19-F19)/F19</f>
        <v>15.920245398773005</v>
      </c>
      <c r="C19" s="64">
        <f>E19-'[1]EU - country'!E19</f>
        <v>-25793</v>
      </c>
      <c r="D19" s="13">
        <f>F19-'[1]EU - country'!F19</f>
        <v>-13477</v>
      </c>
      <c r="E19" s="149">
        <f>Belgium!E$19</f>
        <v>13790</v>
      </c>
      <c r="F19" s="13">
        <f>Belgium!F$19</f>
        <v>815</v>
      </c>
      <c r="G19" s="13">
        <f>Belgium!G$19</f>
        <v>13085</v>
      </c>
      <c r="H19" s="13">
        <f>Belgium!H$19</f>
        <v>3525</v>
      </c>
      <c r="I19" s="13">
        <f>Belgium!I$19</f>
        <v>1914</v>
      </c>
      <c r="J19" s="13">
        <f>Belgium!J$19</f>
        <v>20272</v>
      </c>
      <c r="K19" s="13">
        <f>Belgium!K$19</f>
        <v>9837</v>
      </c>
      <c r="L19" s="13">
        <f>Belgium!L$19</f>
        <v>3865</v>
      </c>
      <c r="M19" s="13">
        <f>Belgium!M$19</f>
        <v>3010</v>
      </c>
      <c r="N19" s="13">
        <f>Belgium!N$19</f>
        <v>1755</v>
      </c>
      <c r="O19" s="13">
        <f>Belgium!O$19</f>
        <v>13500</v>
      </c>
      <c r="P19" s="13">
        <f>Belgium!P$19</f>
        <v>5200</v>
      </c>
      <c r="Q19" s="13">
        <f>Belgium!Q$19</f>
        <v>0</v>
      </c>
      <c r="R19" s="13">
        <f>Belgium!R$19</f>
        <v>44000</v>
      </c>
      <c r="S19" s="47">
        <f>Belgium!S$19</f>
        <v>27200</v>
      </c>
    </row>
    <row r="20" spans="1:19" ht="12.75">
      <c r="A20" s="27" t="s">
        <v>31</v>
      </c>
      <c r="B20" s="35"/>
      <c r="C20" s="64">
        <f>E20-'[1]EU - country'!E20</f>
        <v>-158</v>
      </c>
      <c r="D20" s="13">
        <f>F20-'[1]EU - country'!F20</f>
        <v>-200</v>
      </c>
      <c r="E20" s="149">
        <f>'Czech Republic'!E$21</f>
        <v>2</v>
      </c>
      <c r="F20" s="13">
        <f>'Czech Republic'!F$21</f>
        <v>0</v>
      </c>
      <c r="G20" s="13">
        <f>'Czech Republic'!G$21</f>
        <v>353</v>
      </c>
      <c r="H20" s="13">
        <f>'Czech Republic'!H$21</f>
        <v>300</v>
      </c>
      <c r="I20" s="13">
        <f>'Czech Republic'!I$21</f>
        <v>210</v>
      </c>
      <c r="J20" s="13">
        <f>'Czech Republic'!J$21</f>
        <v>528</v>
      </c>
      <c r="K20" s="13">
        <f>'Czech Republic'!K$21</f>
        <v>0</v>
      </c>
      <c r="L20" s="13">
        <f>'Czech Republic'!L$21</f>
        <v>265</v>
      </c>
      <c r="M20" s="13">
        <f>'Czech Republic'!M$21</f>
        <v>0</v>
      </c>
      <c r="N20" s="13">
        <f>'Czech Republic'!N$21</f>
        <v>0</v>
      </c>
      <c r="O20" s="13">
        <f>'Czech Republic'!O$21</f>
        <v>0</v>
      </c>
      <c r="P20" s="13">
        <f>'Czech Republic'!P$21</f>
        <v>0</v>
      </c>
      <c r="Q20" s="13">
        <f>'Czech Republic'!Q$21</f>
        <v>0</v>
      </c>
      <c r="R20" s="13">
        <f>'Czech Republic'!R$21</f>
        <v>0</v>
      </c>
      <c r="S20" s="47">
        <f>'Czech Republic'!S$21</f>
        <v>0</v>
      </c>
    </row>
    <row r="21" spans="1:21" ht="12.75">
      <c r="A21" s="27" t="s">
        <v>41</v>
      </c>
      <c r="B21" s="35"/>
      <c r="C21" s="64">
        <f>E21-'[1]EU - country'!E21</f>
        <v>0</v>
      </c>
      <c r="D21" s="13">
        <f>F21-'[1]EU - country'!F21</f>
        <v>0</v>
      </c>
      <c r="E21" s="149">
        <f>Denmark!E$26</f>
        <v>0</v>
      </c>
      <c r="F21" s="13">
        <f>Denmark!F$26</f>
        <v>0</v>
      </c>
      <c r="G21" s="13">
        <f>Denmark!G$26</f>
        <v>121</v>
      </c>
      <c r="H21" s="13">
        <f>Denmark!H$26</f>
        <v>0</v>
      </c>
      <c r="I21" s="13">
        <f>Denmark!I$26</f>
        <v>0</v>
      </c>
      <c r="J21" s="13">
        <f>Denmark!J$26</f>
        <v>0</v>
      </c>
      <c r="K21" s="13">
        <f>Denmark!K$26</f>
        <v>0</v>
      </c>
      <c r="L21" s="13">
        <f>Denmark!L$26</f>
        <v>0</v>
      </c>
      <c r="M21" s="13">
        <f>Denmark!M$26</f>
        <v>0</v>
      </c>
      <c r="N21" s="13">
        <f>Denmark!N$26</f>
        <v>0</v>
      </c>
      <c r="O21" s="13">
        <f>Denmark!O$26</f>
        <v>0</v>
      </c>
      <c r="P21" s="13">
        <f>Denmark!P$26</f>
        <v>0</v>
      </c>
      <c r="Q21" s="13">
        <f>Denmark!Q$26</f>
        <v>0</v>
      </c>
      <c r="R21" s="13">
        <f>Denmark!R$26</f>
        <v>0</v>
      </c>
      <c r="S21" s="47">
        <f>Denmark!S$26</f>
        <v>0</v>
      </c>
      <c r="U21" s="3"/>
    </row>
    <row r="22" spans="1:19" ht="12.75">
      <c r="A22" s="54" t="s">
        <v>135</v>
      </c>
      <c r="B22" s="35">
        <f t="shared" si="2"/>
        <v>-0.37012987012987014</v>
      </c>
      <c r="C22" s="64">
        <f>E22-'[1]EU - country'!E22</f>
        <v>-518</v>
      </c>
      <c r="D22" s="13">
        <f>F22-'[1]EU - country'!F22</f>
        <v>-237</v>
      </c>
      <c r="E22" s="149">
        <f>France!E38</f>
        <v>194</v>
      </c>
      <c r="F22" s="13">
        <f>France!F38</f>
        <v>308</v>
      </c>
      <c r="G22" s="13">
        <f>France!G38</f>
        <v>682</v>
      </c>
      <c r="H22" s="13">
        <f>France!H38</f>
        <v>449</v>
      </c>
      <c r="I22" s="13">
        <f>France!I38</f>
        <v>32</v>
      </c>
      <c r="J22" s="13">
        <f>France!J38</f>
        <v>199</v>
      </c>
      <c r="K22" s="13">
        <f>France!K38</f>
        <v>163</v>
      </c>
      <c r="L22" s="13">
        <f>France!L38</f>
        <v>991</v>
      </c>
      <c r="M22" s="13">
        <f>France!M38</f>
        <v>0</v>
      </c>
      <c r="N22" s="13">
        <f>France!N38</f>
        <v>0</v>
      </c>
      <c r="O22" s="13">
        <f>France!O38</f>
        <v>0</v>
      </c>
      <c r="P22" s="13">
        <f>France!P38</f>
        <v>0</v>
      </c>
      <c r="Q22" s="13">
        <f>France!Q38</f>
        <v>0</v>
      </c>
      <c r="R22" s="13">
        <f>France!R38</f>
        <v>0</v>
      </c>
      <c r="S22" s="47">
        <f>France!S38</f>
        <v>0</v>
      </c>
    </row>
    <row r="23" spans="1:21" ht="12.75">
      <c r="A23" s="27" t="s">
        <v>28</v>
      </c>
      <c r="B23" s="35">
        <f t="shared" si="2"/>
        <v>-1</v>
      </c>
      <c r="C23" s="64">
        <f>E23-'[1]EU - country'!E23</f>
        <v>-505</v>
      </c>
      <c r="D23" s="13">
        <f>F23-'[1]EU - country'!F23</f>
        <v>-6</v>
      </c>
      <c r="E23" s="149">
        <f>Germany!E$26</f>
        <v>0</v>
      </c>
      <c r="F23" s="13">
        <f>Germany!F$26</f>
        <v>219</v>
      </c>
      <c r="G23" s="13">
        <f>Germany!G$26</f>
        <v>28</v>
      </c>
      <c r="H23" s="13">
        <f>Germany!H$26</f>
        <v>0</v>
      </c>
      <c r="I23" s="13">
        <f>Germany!I$26</f>
        <v>0</v>
      </c>
      <c r="J23" s="13">
        <f>Germany!J$26</f>
        <v>0</v>
      </c>
      <c r="K23" s="13">
        <f>Germany!K$26</f>
        <v>0</v>
      </c>
      <c r="L23" s="13">
        <f>Germany!L$26</f>
        <v>158</v>
      </c>
      <c r="M23" s="13">
        <f>Germany!M$26</f>
        <v>0</v>
      </c>
      <c r="N23" s="13">
        <f>Germany!N$26</f>
        <v>151</v>
      </c>
      <c r="O23" s="13">
        <f>Germany!O$26</f>
        <v>0</v>
      </c>
      <c r="P23" s="13">
        <f>Germany!P$26</f>
        <v>0</v>
      </c>
      <c r="Q23" s="13">
        <f>Germany!Q$26</f>
        <v>0</v>
      </c>
      <c r="R23" s="13">
        <f>Germany!R$26</f>
        <v>50</v>
      </c>
      <c r="S23" s="47">
        <f>Germany!S$26</f>
        <v>0</v>
      </c>
      <c r="U23" s="3"/>
    </row>
    <row r="24" spans="1:21" ht="12.75">
      <c r="A24" s="27" t="s">
        <v>16</v>
      </c>
      <c r="B24" s="35"/>
      <c r="C24" s="64">
        <f>E24-'[1]EU - country'!E24</f>
        <v>-15865.889617673762</v>
      </c>
      <c r="D24" s="13">
        <f>F24-'[1]EU - country'!F24</f>
        <v>0</v>
      </c>
      <c r="E24" s="149">
        <f>Italy!E$29</f>
        <v>2185.71074654335</v>
      </c>
      <c r="F24" s="13">
        <f>Italy!F$29</f>
        <v>0</v>
      </c>
      <c r="G24" s="13">
        <f>Italy!G$29</f>
        <v>0</v>
      </c>
      <c r="H24" s="13">
        <f>Italy!H$29</f>
        <v>4564.04341304415</v>
      </c>
      <c r="I24" s="13">
        <f>Italy!I$29</f>
        <v>0</v>
      </c>
      <c r="J24" s="13">
        <f>Italy!J$29</f>
        <v>4691.124097353992</v>
      </c>
      <c r="K24" s="13">
        <f>Italy!K$29</f>
        <v>402</v>
      </c>
      <c r="L24" s="13">
        <f>Italy!L$29</f>
        <v>6620</v>
      </c>
      <c r="M24" s="13">
        <f>Italy!M$29</f>
        <v>0</v>
      </c>
      <c r="N24" s="13">
        <f>Italy!N$29</f>
        <v>0</v>
      </c>
      <c r="O24" s="13">
        <f>Italy!O$29</f>
        <v>0</v>
      </c>
      <c r="P24" s="13">
        <f>Italy!P$29</f>
        <v>0</v>
      </c>
      <c r="Q24" s="13">
        <f>Italy!Q$29</f>
        <v>0</v>
      </c>
      <c r="R24" s="13">
        <f>Italy!R$29</f>
        <v>0</v>
      </c>
      <c r="S24" s="47">
        <f>Italy!S$29</f>
        <v>0</v>
      </c>
      <c r="U24" s="3"/>
    </row>
    <row r="25" spans="1:21" ht="12.75">
      <c r="A25" s="54" t="s">
        <v>32</v>
      </c>
      <c r="B25" s="35"/>
      <c r="C25" s="64">
        <f>E25-'[1]EU - country'!E25</f>
        <v>0</v>
      </c>
      <c r="D25" s="13">
        <f>F25-'[1]EU - country'!F25</f>
        <v>0</v>
      </c>
      <c r="E25" s="149">
        <f>Poland!E$25</f>
        <v>0</v>
      </c>
      <c r="F25" s="13">
        <f>Poland!F$25</f>
        <v>0</v>
      </c>
      <c r="G25" s="13">
        <f>Poland!G$25</f>
        <v>0</v>
      </c>
      <c r="H25" s="13">
        <f>Poland!H$25</f>
        <v>0</v>
      </c>
      <c r="I25" s="91">
        <f>Poland!I$25</f>
        <v>0</v>
      </c>
      <c r="J25" s="91">
        <f>Poland!J$25</f>
        <v>0</v>
      </c>
      <c r="K25" s="91">
        <f>Poland!K$25</f>
        <v>0</v>
      </c>
      <c r="L25" s="91">
        <f>Poland!L$25</f>
        <v>0</v>
      </c>
      <c r="M25" s="91">
        <f>Poland!M$25</f>
        <v>0</v>
      </c>
      <c r="N25" s="91">
        <f>Poland!N$25</f>
        <v>0</v>
      </c>
      <c r="O25" s="91">
        <f>Poland!O$25</f>
        <v>0</v>
      </c>
      <c r="P25" s="91">
        <f>Poland!P$25</f>
        <v>0</v>
      </c>
      <c r="Q25" s="91">
        <f>Poland!Q$25</f>
        <v>0</v>
      </c>
      <c r="R25" s="91">
        <f>Poland!R$25</f>
        <v>0</v>
      </c>
      <c r="S25" s="93">
        <f>Poland!S$25</f>
        <v>0</v>
      </c>
      <c r="U25" s="3"/>
    </row>
    <row r="26" spans="1:21" ht="12.75">
      <c r="A26" s="27" t="s">
        <v>151</v>
      </c>
      <c r="B26" s="35"/>
      <c r="C26" s="64">
        <f>E26-'[1]EU - country'!E26</f>
        <v>0</v>
      </c>
      <c r="D26" s="13">
        <f>F26-'[1]EU - country'!F26</f>
        <v>-12058</v>
      </c>
      <c r="E26" s="149">
        <f>Portugal!E$14</f>
        <v>0</v>
      </c>
      <c r="F26" s="13">
        <f>Portugal!F$14</f>
        <v>0</v>
      </c>
      <c r="G26" s="13">
        <f>Portugal!G$14</f>
        <v>4925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47"/>
      <c r="U26" s="3"/>
    </row>
    <row r="27" spans="1:21" ht="12.75">
      <c r="A27" s="27" t="s">
        <v>38</v>
      </c>
      <c r="B27" s="35">
        <f t="shared" si="2"/>
        <v>-0.07909937522103029</v>
      </c>
      <c r="C27" s="64">
        <f>E27-'[1]EU - country'!E27</f>
        <v>-8855.260266945566</v>
      </c>
      <c r="D27" s="13">
        <f>F27-'[1]EU - country'!F27</f>
        <v>-7539.660994309535</v>
      </c>
      <c r="E27" s="149">
        <f>Spain!E$17</f>
        <v>7812</v>
      </c>
      <c r="F27" s="13">
        <f>Spain!F$17</f>
        <v>8483</v>
      </c>
      <c r="G27" s="13">
        <f>Spain!G$17</f>
        <v>8850</v>
      </c>
      <c r="H27" s="13">
        <f>Spain!H$17</f>
        <v>8333</v>
      </c>
      <c r="I27" s="13">
        <f>Spain!I$17</f>
        <v>4805</v>
      </c>
      <c r="J27" s="13">
        <f>Spain!J$17</f>
        <v>8547</v>
      </c>
      <c r="K27" s="13">
        <f>Spain!K$17</f>
        <v>6690.43992984964</v>
      </c>
      <c r="L27" s="13">
        <f>Spain!L$17</f>
        <v>8915.304162822647</v>
      </c>
      <c r="M27" s="13">
        <f>Spain!M$17</f>
        <v>692.3615723352219</v>
      </c>
      <c r="N27" s="13">
        <f>Spain!N$17</f>
        <v>19641</v>
      </c>
      <c r="O27" s="13">
        <f>Spain!O$17</f>
        <v>9970.545159803514</v>
      </c>
      <c r="P27" s="13">
        <f>Spain!P$17</f>
        <v>10830</v>
      </c>
      <c r="Q27" s="13">
        <f>Spain!Q$17</f>
        <v>7096</v>
      </c>
      <c r="R27" s="13">
        <f>Spain!R$17</f>
        <v>5720</v>
      </c>
      <c r="S27" s="47">
        <f>Spain!S$17</f>
        <v>10424</v>
      </c>
      <c r="U27" s="3"/>
    </row>
    <row r="28" spans="1:21" ht="12.75">
      <c r="A28" s="27" t="s">
        <v>61</v>
      </c>
      <c r="B28" s="35">
        <f t="shared" si="2"/>
        <v>9.6</v>
      </c>
      <c r="C28" s="64">
        <f>E28-'[1]EU - country'!E28</f>
        <v>-785</v>
      </c>
      <c r="D28" s="13">
        <f>F28-'[1]EU - country'!F28</f>
        <v>-851</v>
      </c>
      <c r="E28" s="149">
        <f>Switzerland!E$27</f>
        <v>53</v>
      </c>
      <c r="F28" s="13">
        <f>Switzerland!F$27</f>
        <v>5</v>
      </c>
      <c r="G28" s="13">
        <f>Switzerland!G$27</f>
        <v>7</v>
      </c>
      <c r="H28" s="13">
        <f>Switzerland!H$27</f>
        <v>0</v>
      </c>
      <c r="I28" s="13">
        <f>Switzerland!I$27</f>
        <v>0</v>
      </c>
      <c r="J28" s="13">
        <f>Switzerland!J$27</f>
        <v>10</v>
      </c>
      <c r="K28" s="13">
        <f>Switzerland!K$27</f>
        <v>25</v>
      </c>
      <c r="L28" s="13">
        <f>Switzerland!L$27</f>
        <v>0</v>
      </c>
      <c r="M28" s="13">
        <f>Switzerland!M$27</f>
        <v>0</v>
      </c>
      <c r="N28" s="13">
        <f>Switzerland!N$27</f>
        <v>168</v>
      </c>
      <c r="O28" s="13">
        <f>Switzerland!O$27</f>
        <v>0</v>
      </c>
      <c r="P28" s="13">
        <f>Switzerland!P$27</f>
        <v>2</v>
      </c>
      <c r="Q28" s="13">
        <f>Switzerland!Q$27</f>
        <v>0</v>
      </c>
      <c r="R28" s="13">
        <f>Switzerland!R$27</f>
        <v>1</v>
      </c>
      <c r="S28" s="47">
        <f>Switzerland!S$27</f>
        <v>0</v>
      </c>
      <c r="U28" s="3"/>
    </row>
    <row r="29" spans="1:19" ht="12.75">
      <c r="A29" s="27" t="s">
        <v>1</v>
      </c>
      <c r="B29" s="35">
        <f t="shared" si="2"/>
        <v>0.1891531027466938</v>
      </c>
      <c r="C29" s="64">
        <f>E29-'[1]EU - country'!E29</f>
        <v>-33123</v>
      </c>
      <c r="D29" s="13">
        <f>F29-'[1]EU - country'!F29</f>
        <v>-28180</v>
      </c>
      <c r="E29" s="149">
        <f>Netherlands!E$15</f>
        <v>37406</v>
      </c>
      <c r="F29" s="13">
        <f>Netherlands!F$15</f>
        <v>31456</v>
      </c>
      <c r="G29" s="13">
        <f>Netherlands!G$15</f>
        <v>37475.995200000005</v>
      </c>
      <c r="H29" s="13">
        <f>Netherlands!H$15</f>
        <v>33424</v>
      </c>
      <c r="I29" s="13">
        <f>Netherlands!I$15</f>
        <v>39922</v>
      </c>
      <c r="J29" s="13">
        <f>Netherlands!J$15</f>
        <v>31765</v>
      </c>
      <c r="K29" s="13">
        <f>Netherlands!K$15</f>
        <v>28378</v>
      </c>
      <c r="L29" s="13">
        <f>Netherlands!L$15</f>
        <v>16500</v>
      </c>
      <c r="M29" s="13">
        <f>Netherlands!M$15</f>
        <v>12000</v>
      </c>
      <c r="N29" s="13">
        <f>Netherlands!N$15</f>
        <v>21000</v>
      </c>
      <c r="O29" s="13">
        <f>Netherlands!O$15</f>
        <v>18000</v>
      </c>
      <c r="P29" s="13">
        <f>Netherlands!P$15</f>
        <v>21000</v>
      </c>
      <c r="Q29" s="13">
        <f>Netherlands!Q$15</f>
        <v>12000</v>
      </c>
      <c r="R29" s="13">
        <f>Netherlands!R$15</f>
        <v>23000</v>
      </c>
      <c r="S29" s="47">
        <f>Netherlands!S$15</f>
        <v>34000</v>
      </c>
    </row>
    <row r="30" spans="1:21" ht="13.5" thickBot="1">
      <c r="A30" s="38" t="s">
        <v>36</v>
      </c>
      <c r="B30" s="36"/>
      <c r="C30" s="65">
        <f>E30-'[1]EU - country'!E30</f>
        <v>-518</v>
      </c>
      <c r="D30" s="15">
        <f>F30-'[1]EU - country'!F30</f>
        <v>0</v>
      </c>
      <c r="E30" s="150">
        <f>UK!E$19</f>
        <v>15</v>
      </c>
      <c r="F30" s="15">
        <f>UK!F$19</f>
        <v>0</v>
      </c>
      <c r="G30" s="15">
        <f>UK!G$19</f>
        <v>0</v>
      </c>
      <c r="H30" s="15">
        <f>UK!H$19</f>
        <v>0</v>
      </c>
      <c r="I30" s="92">
        <f>UK!I$19</f>
        <v>0</v>
      </c>
      <c r="J30" s="92">
        <f>UK!J$19</f>
        <v>100</v>
      </c>
      <c r="K30" s="92">
        <f>UK!K$19</f>
        <v>450</v>
      </c>
      <c r="L30" s="92">
        <f>UK!L$19</f>
        <v>700</v>
      </c>
      <c r="M30" s="92">
        <f>UK!M$19</f>
        <v>300</v>
      </c>
      <c r="N30" s="92">
        <f>UK!N$19</f>
        <v>300</v>
      </c>
      <c r="O30" s="92">
        <f>UK!O$19</f>
        <v>500</v>
      </c>
      <c r="P30" s="92">
        <f>UK!P$19</f>
        <v>800</v>
      </c>
      <c r="Q30" s="92">
        <f>UK!Q$19</f>
        <v>0</v>
      </c>
      <c r="R30" s="92">
        <f>UK!R$19</f>
        <v>100</v>
      </c>
      <c r="S30" s="83">
        <f>UK!S$19</f>
        <v>0</v>
      </c>
      <c r="U30" s="3"/>
    </row>
    <row r="31" spans="1:19" ht="13.5" thickBot="1">
      <c r="A31" s="40" t="s">
        <v>23</v>
      </c>
      <c r="B31" s="41">
        <f t="shared" si="2"/>
        <v>0.48858476836078457</v>
      </c>
      <c r="C31" s="88">
        <f>E31-'[1]EU - country'!E31</f>
        <v>-86121.14988461933</v>
      </c>
      <c r="D31" s="42">
        <f>F31-'[1]EU - country'!F31</f>
        <v>-62548.66099430954</v>
      </c>
      <c r="E31" s="135">
        <f>SUM(E19:E30)</f>
        <v>61457.71074654335</v>
      </c>
      <c r="F31" s="42">
        <f aca="true" t="shared" si="3" ref="F31:K31">SUM(F19:F30)</f>
        <v>41286</v>
      </c>
      <c r="G31" s="42">
        <f t="shared" si="3"/>
        <v>65526.995200000005</v>
      </c>
      <c r="H31" s="42">
        <f t="shared" si="3"/>
        <v>50595.04341304415</v>
      </c>
      <c r="I31" s="42">
        <f t="shared" si="3"/>
        <v>46883</v>
      </c>
      <c r="J31" s="42">
        <f t="shared" si="3"/>
        <v>66112.12409735398</v>
      </c>
      <c r="K31" s="42">
        <f t="shared" si="3"/>
        <v>45945.43992984964</v>
      </c>
      <c r="L31" s="42">
        <f aca="true" t="shared" si="4" ref="L31:S31">SUM(L19:L30)</f>
        <v>38014.30416282265</v>
      </c>
      <c r="M31" s="42">
        <f t="shared" si="4"/>
        <v>16002.361572335221</v>
      </c>
      <c r="N31" s="42">
        <f t="shared" si="4"/>
        <v>43015</v>
      </c>
      <c r="O31" s="42">
        <f t="shared" si="4"/>
        <v>41970.545159803514</v>
      </c>
      <c r="P31" s="42">
        <f t="shared" si="4"/>
        <v>37832</v>
      </c>
      <c r="Q31" s="42">
        <f t="shared" si="4"/>
        <v>19096</v>
      </c>
      <c r="R31" s="42">
        <f t="shared" si="4"/>
        <v>72871</v>
      </c>
      <c r="S31" s="49">
        <f t="shared" si="4"/>
        <v>71624</v>
      </c>
    </row>
    <row r="32" spans="1:19" ht="12.75">
      <c r="A32" s="105" t="s">
        <v>166</v>
      </c>
      <c r="S32" s="1"/>
    </row>
    <row r="33" spans="1:19" ht="12.75">
      <c r="A33" s="105"/>
      <c r="I33" s="13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.75">
      <c r="A34" s="67"/>
      <c r="R34" s="1"/>
      <c r="S34" s="1"/>
    </row>
    <row r="35" spans="1:19" ht="12.75">
      <c r="A35" s="9"/>
      <c r="B35" s="12"/>
      <c r="C35" s="12"/>
      <c r="R35" s="1"/>
      <c r="S35" s="1"/>
    </row>
    <row r="36" spans="1:20" ht="12.75">
      <c r="A36" s="95"/>
      <c r="B36" s="12"/>
      <c r="C36" s="12"/>
      <c r="R36" s="12"/>
      <c r="S36" s="12"/>
      <c r="T36" s="12"/>
    </row>
    <row r="37" spans="1:20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2"/>
    </row>
    <row r="38" spans="1:20" ht="12.75">
      <c r="A38" s="12"/>
      <c r="B38" s="12"/>
      <c r="C38" s="12"/>
      <c r="R38" s="13"/>
      <c r="S38" s="13"/>
      <c r="T38" s="12"/>
    </row>
    <row r="39" spans="1:21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11"/>
      <c r="U39" s="9"/>
    </row>
    <row r="40" spans="1:21" ht="12.75">
      <c r="A40" s="12"/>
      <c r="B40" s="12"/>
      <c r="C40" s="12"/>
      <c r="R40" s="20"/>
      <c r="S40" s="20"/>
      <c r="T40" s="13"/>
      <c r="U40" s="9"/>
    </row>
    <row r="41" spans="1:21" ht="12.75">
      <c r="A41" s="12"/>
      <c r="B41" s="12"/>
      <c r="C41" s="12"/>
      <c r="R41" s="20"/>
      <c r="S41" s="20"/>
      <c r="T41" s="13"/>
      <c r="U41" s="9"/>
    </row>
    <row r="42" spans="1:21" ht="12.75">
      <c r="A42" s="12"/>
      <c r="B42" s="12"/>
      <c r="C42" s="12"/>
      <c r="R42" s="20"/>
      <c r="S42" s="20"/>
      <c r="T42" s="13"/>
      <c r="U42" s="9"/>
    </row>
    <row r="43" spans="1:21" ht="12.75">
      <c r="A43" s="12"/>
      <c r="B43" s="12"/>
      <c r="C43" s="12"/>
      <c r="R43" s="20"/>
      <c r="S43" s="20"/>
      <c r="T43" s="13"/>
      <c r="U43" s="9"/>
    </row>
    <row r="44" spans="1:21" ht="12.75">
      <c r="A44" s="12"/>
      <c r="B44" s="12"/>
      <c r="C44" s="12"/>
      <c r="R44" s="20"/>
      <c r="S44" s="20"/>
      <c r="T44" s="13"/>
      <c r="U44" s="9"/>
    </row>
    <row r="45" spans="1:21" ht="12.75">
      <c r="A45" s="12"/>
      <c r="B45" s="12"/>
      <c r="C45" s="12"/>
      <c r="R45" s="20"/>
      <c r="S45" s="20"/>
      <c r="T45" s="13"/>
      <c r="U45" s="9"/>
    </row>
    <row r="46" spans="1:21" ht="12.75">
      <c r="A46" s="12"/>
      <c r="B46" s="12"/>
      <c r="C46" s="12"/>
      <c r="R46" s="20"/>
      <c r="S46" s="20"/>
      <c r="T46" s="13"/>
      <c r="U46" s="9"/>
    </row>
    <row r="47" spans="1:2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0"/>
      <c r="S47" s="20"/>
      <c r="T47" s="13"/>
      <c r="U47" s="9"/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0"/>
      <c r="S48" s="20"/>
      <c r="T48" s="13"/>
      <c r="U48" s="9"/>
    </row>
    <row r="49" spans="1:2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0"/>
      <c r="S49" s="20"/>
      <c r="T49" s="13"/>
      <c r="U49" s="9"/>
    </row>
    <row r="50" spans="1:2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0"/>
      <c r="S50" s="20"/>
      <c r="T50" s="13"/>
      <c r="U50" s="9"/>
    </row>
    <row r="51" spans="1:2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0"/>
      <c r="S51" s="20"/>
      <c r="T51" s="13"/>
      <c r="U51" s="9"/>
    </row>
    <row r="52" spans="1:2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0"/>
      <c r="S52" s="20"/>
      <c r="T52" s="13"/>
      <c r="U52" s="9"/>
    </row>
    <row r="53" spans="1:2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0"/>
      <c r="S53" s="20"/>
      <c r="T53" s="13"/>
      <c r="U53" s="9"/>
    </row>
    <row r="54" spans="1:2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0"/>
      <c r="S54" s="20"/>
      <c r="T54" s="13"/>
      <c r="U54" s="9"/>
    </row>
    <row r="55" spans="1:2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0"/>
      <c r="S55" s="20"/>
      <c r="T55" s="14"/>
      <c r="U55" s="9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0"/>
      <c r="S56" s="20"/>
      <c r="T56" s="12"/>
    </row>
    <row r="57" spans="1:2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0"/>
      <c r="S57" s="20"/>
      <c r="T57" s="13"/>
      <c r="U57" s="9"/>
    </row>
    <row r="58" spans="1:2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0"/>
      <c r="S58" s="20"/>
      <c r="T58" s="13"/>
      <c r="U58" s="9"/>
    </row>
    <row r="59" spans="1:2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0"/>
      <c r="S59" s="20"/>
      <c r="T59" s="13"/>
      <c r="U59" s="9"/>
    </row>
    <row r="60" spans="1:2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0"/>
      <c r="S60" s="20"/>
      <c r="T60" s="13"/>
      <c r="U60" s="9"/>
    </row>
    <row r="61" spans="1:2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0"/>
      <c r="S61" s="20"/>
      <c r="T61" s="13"/>
      <c r="U61" s="9"/>
    </row>
    <row r="62" spans="1:2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0"/>
      <c r="S62" s="20"/>
      <c r="T62" s="14"/>
      <c r="U62" s="9"/>
    </row>
    <row r="63" spans="1:20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/>
      <c r="S63" s="21"/>
      <c r="T63" s="12"/>
    </row>
    <row r="64" spans="1:20" ht="12.75">
      <c r="A64" s="12"/>
      <c r="B64" s="12"/>
      <c r="C64" s="12"/>
      <c r="R64" s="13"/>
      <c r="S64" s="13"/>
      <c r="T64" s="12"/>
    </row>
    <row r="65" spans="1:20" ht="12.75">
      <c r="A65" s="12"/>
      <c r="B65" s="12"/>
      <c r="C65" s="12"/>
      <c r="R65" s="13"/>
      <c r="S65" s="13"/>
      <c r="T65" s="12"/>
    </row>
    <row r="66" spans="1:20" ht="12.75">
      <c r="A66" s="12"/>
      <c r="B66" s="12"/>
      <c r="C66" s="12"/>
      <c r="R66" s="13"/>
      <c r="S66" s="13"/>
      <c r="T66" s="12"/>
    </row>
    <row r="67" spans="1:20" ht="12.75">
      <c r="A67" s="12"/>
      <c r="B67" s="12"/>
      <c r="C67" s="12"/>
      <c r="R67" s="17"/>
      <c r="S67" s="17"/>
      <c r="T67" s="12"/>
    </row>
    <row r="68" spans="1:20" ht="12.75">
      <c r="A68" s="12"/>
      <c r="B68" s="12"/>
      <c r="C68" s="12"/>
      <c r="R68" s="17"/>
      <c r="S68" s="17"/>
      <c r="T68" s="12"/>
    </row>
    <row r="69" spans="1:20" ht="12.75">
      <c r="A69" s="12"/>
      <c r="B69" s="12"/>
      <c r="C69" s="12"/>
      <c r="R69" s="13"/>
      <c r="S69" s="17"/>
      <c r="T69" s="12"/>
    </row>
    <row r="70" spans="1:20" ht="12.75">
      <c r="A70" s="12"/>
      <c r="B70" s="12"/>
      <c r="C70" s="12"/>
      <c r="R70" s="13"/>
      <c r="S70" s="13"/>
      <c r="T70" s="12"/>
    </row>
    <row r="71" spans="1:20" ht="12.75">
      <c r="A71" s="12"/>
      <c r="B71" s="12"/>
      <c r="C71" s="12"/>
      <c r="R71" s="13"/>
      <c r="S71" s="13"/>
      <c r="T71" s="12"/>
    </row>
    <row r="72" spans="1:20" ht="12.75">
      <c r="A72" s="12"/>
      <c r="B72" s="12"/>
      <c r="C72" s="12"/>
      <c r="R72" s="13"/>
      <c r="S72" s="13"/>
      <c r="T72" s="12"/>
    </row>
    <row r="73" spans="1:20" ht="12.75">
      <c r="A73" s="12"/>
      <c r="B73" s="12"/>
      <c r="C73" s="12"/>
      <c r="R73" s="13"/>
      <c r="S73" s="13"/>
      <c r="T73" s="12"/>
    </row>
    <row r="74" spans="1:20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4"/>
      <c r="S74" s="14"/>
      <c r="T74" s="12"/>
    </row>
    <row r="75" spans="1:20" ht="12.75">
      <c r="A75" s="12"/>
      <c r="B75" s="12"/>
      <c r="C75" s="12"/>
      <c r="R75" s="12"/>
      <c r="S75" s="12"/>
      <c r="T75" s="12"/>
    </row>
    <row r="76" spans="1:20" ht="12.75">
      <c r="A76" s="12"/>
      <c r="B76" s="12"/>
      <c r="C76" s="12"/>
      <c r="R76" s="12"/>
      <c r="S76" s="12"/>
      <c r="T76" s="12"/>
    </row>
    <row r="77" spans="1:20" ht="12.75">
      <c r="A77" s="12"/>
      <c r="B77" s="12"/>
      <c r="C77" s="12"/>
      <c r="R77" s="12"/>
      <c r="S77" s="12"/>
      <c r="T77" s="12"/>
    </row>
    <row r="78" spans="1:20" ht="12.75">
      <c r="A78" s="12"/>
      <c r="B78" s="12"/>
      <c r="C78" s="12"/>
      <c r="R78" s="12"/>
      <c r="S78" s="12"/>
      <c r="T78" s="12"/>
    </row>
    <row r="79" spans="1:20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2"/>
      <c r="S79" s="12"/>
      <c r="T79" s="12"/>
    </row>
    <row r="80" spans="1:20" ht="12.75">
      <c r="A80" s="12"/>
      <c r="B80" s="12"/>
      <c r="C80" s="12"/>
      <c r="R80" s="12"/>
      <c r="S80" s="12"/>
      <c r="T80" s="12"/>
    </row>
    <row r="81" spans="1:20" ht="12.75">
      <c r="A81" s="12"/>
      <c r="B81" s="12"/>
      <c r="C81" s="12"/>
      <c r="R81" s="12"/>
      <c r="S81" s="12"/>
      <c r="T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7"/>
  <sheetViews>
    <sheetView zoomScale="92" zoomScaleNormal="92" zoomScalePageLayoutView="0" workbookViewId="0" topLeftCell="A1">
      <selection activeCell="B23" sqref="B23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8" width="11.421875" style="9" customWidth="1"/>
    <col min="9" max="17" width="10.7109375" style="9" customWidth="1"/>
  </cols>
  <sheetData>
    <row r="1" spans="1:17" ht="13.5" thickBot="1">
      <c r="A1" s="53" t="s">
        <v>93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50">
        <v>39965</v>
      </c>
    </row>
    <row r="2" spans="1:18" ht="12.75">
      <c r="A2" s="54" t="s">
        <v>20</v>
      </c>
      <c r="B2" s="61"/>
      <c r="C2" s="100">
        <f>E2-'[1]EU - variety'!E2</f>
        <v>0</v>
      </c>
      <c r="D2" s="91">
        <f>F2-'[1]EU - variety'!F2</f>
        <v>0</v>
      </c>
      <c r="E2" s="57">
        <f>Italy!E$2</f>
        <v>0</v>
      </c>
      <c r="F2" s="91">
        <f>Italy!F$2</f>
        <v>0</v>
      </c>
      <c r="G2" s="91">
        <f>Italy!G$2</f>
        <v>0</v>
      </c>
      <c r="H2" s="91">
        <f>Italy!H$2</f>
        <v>0</v>
      </c>
      <c r="I2" s="91">
        <f>Italy!I$2</f>
        <v>0</v>
      </c>
      <c r="J2" s="91">
        <f>Italy!J$2</f>
        <v>0</v>
      </c>
      <c r="K2" s="91">
        <f>Italy!K$2</f>
        <v>0</v>
      </c>
      <c r="L2" s="91">
        <f>Italy!L$2</f>
        <v>0</v>
      </c>
      <c r="M2" s="91">
        <f>Italy!M$2</f>
        <v>0</v>
      </c>
      <c r="N2" s="91">
        <f>Italy!N$2</f>
        <v>0</v>
      </c>
      <c r="O2" s="91">
        <f>Italy!O$2</f>
        <v>0</v>
      </c>
      <c r="P2" s="91">
        <f>Italy!P$2</f>
        <v>0</v>
      </c>
      <c r="Q2" s="93">
        <f>Italy!Q$2</f>
        <v>0</v>
      </c>
      <c r="R2" s="90"/>
    </row>
    <row r="3" spans="1:18" ht="12.75">
      <c r="A3" s="54" t="s">
        <v>4</v>
      </c>
      <c r="B3" s="61">
        <f>(E3-F3)/F3</f>
        <v>-1</v>
      </c>
      <c r="C3" s="100">
        <f>E3-'[1]EU - variety'!E3</f>
        <v>-1300.5780874512986</v>
      </c>
      <c r="D3" s="91">
        <f>F3-'[1]EU - variety'!F3</f>
        <v>-24</v>
      </c>
      <c r="E3" s="57">
        <f>Austria!E$3+Belgium!E$2+Denmark!E$2+France!E$4+Germany!E$2+Switzerland!E$2+Netherlands!E$2+Poland!E$2</f>
        <v>0</v>
      </c>
      <c r="F3" s="91">
        <f>Austria!F$3+Belgium!F$2+Denmark!F$2+France!F$4+Germany!F$2+Switzerland!F$2+Netherlands!F$2+Poland!F$2</f>
        <v>17</v>
      </c>
      <c r="G3" s="91">
        <f>Austria!G$3+Belgium!G$2+Denmark!G$2+France!G$4+Germany!G$2+Switzerland!G$2+Netherlands!G$2+Poland!G$2</f>
        <v>433</v>
      </c>
      <c r="H3" s="91">
        <f>Austria!H$3+Belgium!H$2+Denmark!H$2+France!H$4+Germany!H$2+Switzerland!H$2+Netherlands!H$2+Poland!H$2</f>
        <v>83</v>
      </c>
      <c r="I3" s="91">
        <f>Austria!I$3+Belgium!I$2+Denmark!I$2+France!I$4+Germany!I$2+Switzerland!I$2+Netherlands!I$2+Poland!I$2</f>
        <v>376</v>
      </c>
      <c r="J3" s="91">
        <f>Austria!J$3+Belgium!J$2+Denmark!J$2+France!J$4+Germany!J$2+Switzerland!J$2+Netherlands!J$2+Poland!J$2</f>
        <v>89</v>
      </c>
      <c r="K3" s="91">
        <f>Austria!K$3+Belgium!K$2+Denmark!K$2+France!K$4+Germany!K$2+Switzerland!K$2+Netherlands!K$2+Poland!K$2</f>
        <v>120</v>
      </c>
      <c r="L3" s="91">
        <f>Austria!L$3+Belgium!L$2+Denmark!L$2+France!L$4+Germany!L$2+Switzerland!L$2+Netherlands!L$2+Poland!L$2</f>
        <v>352</v>
      </c>
      <c r="M3" s="91">
        <f>Austria!M$3+Belgium!M$2+Denmark!M$2+France!M$4+Germany!M$2+Switzerland!M$2+Netherlands!M$2+Poland!M$2</f>
        <v>0</v>
      </c>
      <c r="N3" s="91">
        <f>Austria!N$3+Belgium!N$2+Denmark!N$2+France!N$4+Germany!N$2+Switzerland!N$2+Netherlands!N$2+Poland!N$2</f>
        <v>142</v>
      </c>
      <c r="O3" s="91">
        <f>Austria!O$3+Belgium!O$2+Denmark!O$2+France!O$4+Germany!O$2+Switzerland!O$2+Netherlands!O$2+Poland!O$2</f>
        <v>0</v>
      </c>
      <c r="P3" s="91">
        <f>Austria!P$3+Belgium!P$2+Denmark!P$2+Germany!P$2+Switzerland!P$2+Netherlands!P$2+Poland!P$2</f>
        <v>2</v>
      </c>
      <c r="Q3" s="93">
        <f>Austria!Q$3+Belgium!Q$2+Denmark!Q$2+Germany!Q$2+Switzerland!Q$2+Netherlands!Q$2+Poland!Q$2</f>
        <v>281</v>
      </c>
      <c r="R3" s="3"/>
    </row>
    <row r="4" spans="1:17" ht="12.75">
      <c r="A4" s="54" t="s">
        <v>11</v>
      </c>
      <c r="B4" s="61">
        <f aca="true" t="shared" si="0" ref="B4:B32">(E4-F4)/F4</f>
        <v>0.04740306640914768</v>
      </c>
      <c r="C4" s="100">
        <f>E4-'[1]EU - variety'!E4</f>
        <v>-17729.579999999998</v>
      </c>
      <c r="D4" s="91">
        <f>F4-'[1]EU - variety'!F4</f>
        <v>-20590.61</v>
      </c>
      <c r="E4" s="57">
        <f>Austria!E$4+France!E$5+Germany!E$3+Italy!E$3+Switzerland!E$3+UK!E$2+'Czech Republic'!E$2</f>
        <v>15038.100000000002</v>
      </c>
      <c r="F4" s="91">
        <f>Austria!F$4+France!F$5+Germany!F$3+Italy!F$3+Switzerland!F$3+UK!F$2+'Czech Republic'!F$2</f>
        <v>14357.51</v>
      </c>
      <c r="G4" s="91">
        <f>Austria!G$4+France!G$5+Germany!G$3+Italy!G$3+Switzerland!G$3+UK!G$2+'Czech Republic'!G$2</f>
        <v>30035</v>
      </c>
      <c r="H4" s="91">
        <f>Austria!H$4+France!H$5+Germany!H$3+Italy!H$3+Switzerland!H$3+UK!H$2+'Czech Republic'!H$2</f>
        <v>1980.1</v>
      </c>
      <c r="I4" s="91">
        <f>Austria!I$4+France!I$5+Germany!I$3+Italy!I$3+Switzerland!I$3+UK!I$2+'Czech Republic'!I$2</f>
        <v>10813</v>
      </c>
      <c r="J4" s="91">
        <f>Austria!J$4+France!J$5+Germany!J$3+Italy!J$3+Switzerland!J$3+UK!J$2</f>
        <v>9385</v>
      </c>
      <c r="K4" s="91">
        <f>Austria!K$4+France!K$5+Germany!K$3+Italy!K$3+Switzerland!K$3+UK!K$2</f>
        <v>11601</v>
      </c>
      <c r="L4" s="91">
        <f>Austria!L$4+France!L$5+Germany!L$3+Italy!L$3+Switzerland!L$3+UK!L$2</f>
        <v>18457</v>
      </c>
      <c r="M4" s="91">
        <f>Austria!M$4+France!M$5+Germany!M$3+Italy!M$3+Switzerland!M$3+UK!M$2</f>
        <v>2183</v>
      </c>
      <c r="N4" s="91">
        <f>Austria!N$4+France!N$5+Germany!N$3+Italy!N$3+Switzerland!N$3+UK!N$2</f>
        <v>8876.301703339373</v>
      </c>
      <c r="O4" s="91">
        <f>Austria!O$4+France!O$5+Germany!O$3+Italy!O$3+Switzerland!O$3+UK!O$2</f>
        <v>7520.360296978515</v>
      </c>
      <c r="P4" s="91">
        <f>Austria!P$4+Germany!P$3+Italy!P$3+Switzerland!P$3+UK!P$2</f>
        <v>11835.1</v>
      </c>
      <c r="Q4" s="93">
        <f>Austria!Q$4+Germany!Q$3+Italy!Q$3+Switzerland!Q$3+UK!Q$2</f>
        <v>2979</v>
      </c>
    </row>
    <row r="5" spans="1:17" ht="12.75">
      <c r="A5" s="54" t="s">
        <v>37</v>
      </c>
      <c r="B5" s="61">
        <f t="shared" si="0"/>
        <v>0.3746094859414939</v>
      </c>
      <c r="C5" s="100">
        <f>E5-'[1]EU - variety'!E5</f>
        <v>-4211</v>
      </c>
      <c r="D5" s="91">
        <f>F5-'[1]EU - variety'!F5</f>
        <v>-3566</v>
      </c>
      <c r="E5" s="57">
        <f>UK!E$3</f>
        <v>4840</v>
      </c>
      <c r="F5" s="91">
        <f>UK!F$3</f>
        <v>3521</v>
      </c>
      <c r="G5" s="91">
        <f>UK!G$3</f>
        <v>6000</v>
      </c>
      <c r="H5" s="91">
        <f>UK!H$3</f>
        <v>6000</v>
      </c>
      <c r="I5" s="91">
        <f>UK!I$3</f>
        <v>0</v>
      </c>
      <c r="J5" s="91">
        <f>UK!J$3</f>
        <v>4000</v>
      </c>
      <c r="K5" s="91">
        <f>UK!K$3</f>
        <v>12000</v>
      </c>
      <c r="L5" s="91">
        <f>UK!L$3</f>
        <v>14300</v>
      </c>
      <c r="M5" s="91">
        <f>UK!M$3</f>
        <v>5000</v>
      </c>
      <c r="N5" s="91">
        <f>UK!N$3</f>
        <v>5000</v>
      </c>
      <c r="O5" s="91">
        <f>UK!O$3</f>
        <v>9000</v>
      </c>
      <c r="P5" s="91">
        <f>UK!P$3</f>
        <v>12000</v>
      </c>
      <c r="Q5" s="93">
        <f>UK!Q$3</f>
        <v>15000</v>
      </c>
    </row>
    <row r="6" spans="1:17" ht="12.75">
      <c r="A6" s="54" t="s">
        <v>29</v>
      </c>
      <c r="B6" s="61"/>
      <c r="C6" s="100">
        <f>E6-'[1]EU - variety'!E6</f>
        <v>-803</v>
      </c>
      <c r="D6" s="91">
        <f>F6-'[1]EU - variety'!F6</f>
        <v>-116</v>
      </c>
      <c r="E6" s="57">
        <f>France!E6+UK!E4</f>
        <v>0</v>
      </c>
      <c r="F6" s="91">
        <f>France!F6+UK!F4</f>
        <v>0</v>
      </c>
      <c r="G6" s="91">
        <f>France!G6+UK!G4</f>
        <v>0</v>
      </c>
      <c r="H6" s="91">
        <f>France!H6+UK!H4</f>
        <v>0</v>
      </c>
      <c r="I6" s="91">
        <f>France!I6+UK!I4</f>
        <v>0</v>
      </c>
      <c r="J6" s="91">
        <f>France!J6+UK!J4</f>
        <v>0</v>
      </c>
      <c r="K6" s="91">
        <f>France!K6+UK!K4</f>
        <v>0</v>
      </c>
      <c r="L6" s="91">
        <f>France!L6+UK!L4</f>
        <v>0</v>
      </c>
      <c r="M6" s="91">
        <f>France!M6+UK!M4</f>
        <v>29</v>
      </c>
      <c r="N6" s="91">
        <f>France!N6+UK!N4</f>
        <v>99</v>
      </c>
      <c r="O6" s="91">
        <f>France!O6+UK!O4</f>
        <v>189</v>
      </c>
      <c r="P6" s="91">
        <f>UK!P4</f>
        <v>0</v>
      </c>
      <c r="Q6" s="93">
        <f>UK!Q4</f>
        <v>0</v>
      </c>
    </row>
    <row r="7" spans="1:17" ht="12.75">
      <c r="A7" s="54" t="s">
        <v>33</v>
      </c>
      <c r="B7" s="61"/>
      <c r="C7" s="100">
        <f>E7-'[1]EU - variety'!E7</f>
        <v>0</v>
      </c>
      <c r="D7" s="91">
        <f>F7-'[1]EU - variety'!F7</f>
        <v>0</v>
      </c>
      <c r="E7" s="57">
        <f>Poland!E$3</f>
        <v>0</v>
      </c>
      <c r="F7" s="91">
        <f>Poland!F$3</f>
        <v>0</v>
      </c>
      <c r="G7" s="91">
        <f>Poland!G$3</f>
        <v>0</v>
      </c>
      <c r="H7" s="91">
        <f>Poland!H$3</f>
        <v>0</v>
      </c>
      <c r="I7" s="91">
        <f>Poland!I$3</f>
        <v>0</v>
      </c>
      <c r="J7" s="91">
        <f>Poland!J$3</f>
        <v>0</v>
      </c>
      <c r="K7" s="91">
        <f>Poland!K$3</f>
        <v>0</v>
      </c>
      <c r="L7" s="91">
        <f>Poland!L$3</f>
        <v>0</v>
      </c>
      <c r="M7" s="91">
        <f>Poland!M$3</f>
        <v>0</v>
      </c>
      <c r="N7" s="91">
        <f>Poland!N$3</f>
        <v>0</v>
      </c>
      <c r="O7" s="91">
        <f>Poland!O$3</f>
        <v>0</v>
      </c>
      <c r="P7" s="91">
        <f>Poland!P$3</f>
        <v>0</v>
      </c>
      <c r="Q7" s="93">
        <f>Poland!Q$3</f>
        <v>0</v>
      </c>
    </row>
    <row r="8" spans="1:17" ht="12.75">
      <c r="A8" s="54" t="s">
        <v>5</v>
      </c>
      <c r="B8" s="61"/>
      <c r="C8" s="100">
        <f>E8-'[1]EU - variety'!E8</f>
        <v>0</v>
      </c>
      <c r="D8" s="91">
        <f>F8-'[1]EU - variety'!F8</f>
        <v>0</v>
      </c>
      <c r="E8" s="57">
        <f>Belgium!E$3+Denmark!E$4+Germany!E$4+Switzerland!E$4+UK!E$5</f>
        <v>0</v>
      </c>
      <c r="F8" s="91">
        <f>Belgium!F$3+Denmark!F$4+Germany!F$4+Switzerland!F$4+UK!F$5</f>
        <v>0</v>
      </c>
      <c r="G8" s="91">
        <f>Belgium!G$3+Denmark!G$4+Germany!G$4+Switzerland!G$4+UK!G$5</f>
        <v>0</v>
      </c>
      <c r="H8" s="91">
        <f>Belgium!H$3+Denmark!H$4+Germany!H$4+Switzerland!H$4+UK!H$5</f>
        <v>0</v>
      </c>
      <c r="I8" s="91">
        <f>Belgium!I$3+Denmark!I$4+Germany!I$4+Switzerland!I$4+UK!I$5</f>
        <v>0</v>
      </c>
      <c r="J8" s="91">
        <f>Belgium!J$3+Denmark!J$4+Germany!J$4+Switzerland!J$4+UK!J$5</f>
        <v>0</v>
      </c>
      <c r="K8" s="91">
        <f>Belgium!K$3+Denmark!K$4+Germany!K$4+Switzerland!K$4+UK!K$5</f>
        <v>0</v>
      </c>
      <c r="L8" s="91">
        <f>Belgium!L$3+Denmark!L$4+Germany!L$4+Switzerland!L$4+UK!L$5</f>
        <v>0</v>
      </c>
      <c r="M8" s="91">
        <f>Belgium!M$3+Denmark!M$4+Germany!M$4+Switzerland!M$4+UK!M$5</f>
        <v>0</v>
      </c>
      <c r="N8" s="91">
        <f>Belgium!N$3+Denmark!N$4+Germany!N$4+Switzerland!N$4+UK!N$5</f>
        <v>0</v>
      </c>
      <c r="O8" s="91">
        <f>Belgium!O$3+Denmark!O$4+Germany!O$4+Switzerland!O$4+UK!O$5</f>
        <v>0</v>
      </c>
      <c r="P8" s="91">
        <f>Belgium!P$3+Denmark!P$4+Germany!P$4+Switzerland!P$4+UK!P$5</f>
        <v>0</v>
      </c>
      <c r="Q8" s="93">
        <f>Belgium!Q$3+Denmark!Q$4+Germany!Q$4+Switzerland!Q$4+UK!Q$5</f>
        <v>1</v>
      </c>
    </row>
    <row r="9" spans="1:17" ht="12.75">
      <c r="A9" s="54" t="s">
        <v>62</v>
      </c>
      <c r="B9" s="61">
        <f t="shared" si="0"/>
        <v>-0.4084862951683266</v>
      </c>
      <c r="C9" s="100">
        <f>E9-'[1]EU - variety'!E9</f>
        <v>-26230.52</v>
      </c>
      <c r="D9" s="91">
        <f>F9-'[1]EU - variety'!F9</f>
        <v>-12637.5</v>
      </c>
      <c r="E9" s="57">
        <f>France!E$8+Italy!E$4</f>
        <v>7186.3</v>
      </c>
      <c r="F9" s="91">
        <f>France!F$8+Italy!F$4</f>
        <v>12149</v>
      </c>
      <c r="G9" s="91">
        <f>France!G$8+Italy!G$4</f>
        <v>4628</v>
      </c>
      <c r="H9" s="91">
        <f>France!H$8+Italy!H$4</f>
        <v>1136</v>
      </c>
      <c r="I9" s="91">
        <f>France!I$8+Italy!I$4</f>
        <v>6467</v>
      </c>
      <c r="J9" s="91">
        <f>France!J$8+Italy!J$4</f>
        <v>4612</v>
      </c>
      <c r="K9" s="91">
        <f>France!K$8+Italy!K$4</f>
        <v>8464</v>
      </c>
      <c r="L9" s="91">
        <f>France!L$8+Italy!L$4</f>
        <v>6363</v>
      </c>
      <c r="M9" s="91">
        <f>France!M$8+Italy!M$4</f>
        <v>93</v>
      </c>
      <c r="N9" s="91">
        <f>France!N$8+Italy!N$4</f>
        <v>825.470121667098</v>
      </c>
      <c r="O9" s="91">
        <f>France!O$8+Italy!O$4</f>
        <v>2941.0439391759005</v>
      </c>
      <c r="P9" s="91">
        <f>Italy!P$4</f>
        <v>0</v>
      </c>
      <c r="Q9" s="93">
        <f>Italy!Q$4</f>
        <v>0</v>
      </c>
    </row>
    <row r="10" spans="1:17" ht="12.75">
      <c r="A10" s="54" t="s">
        <v>2</v>
      </c>
      <c r="B10" s="61">
        <f t="shared" si="0"/>
        <v>-0.5966319165998396</v>
      </c>
      <c r="C10" s="100">
        <f>E10-'[1]EU - variety'!E10</f>
        <v>-11815.728</v>
      </c>
      <c r="D10" s="91">
        <f>F10-'[1]EU - variety'!F10</f>
        <v>-22165</v>
      </c>
      <c r="E10" s="57">
        <f>Austria!E$5+Belgium!E$4+Denmark!E$5+France!E$9+Germany!E$5+Italy!E$5+Switzerland!E$5+Netherlands!E$3+Poland!E$4</f>
        <v>4024</v>
      </c>
      <c r="F10" s="91">
        <f>Austria!F$5+Belgium!F$4+Denmark!F$5+France!F$9+Germany!F$5+Italy!F$5+Switzerland!F$5+Netherlands!F$3+Poland!F$4</f>
        <v>9976</v>
      </c>
      <c r="G10" s="91">
        <f>Austria!G$5+Belgium!G$4+Denmark!G$5+France!G$9+Germany!G$5+Italy!G$5+Switzerland!G$5+Netherlands!G$3+Poland!G$4</f>
        <v>5888.2032</v>
      </c>
      <c r="H10" s="91">
        <f>Austria!H$5+Belgium!H$4+Denmark!H$5+France!H$9+Germany!H$5+Italy!H$5+Switzerland!H$5+Netherlands!H$3+Poland!H$4</f>
        <v>1824</v>
      </c>
      <c r="I10" s="91">
        <f>Austria!I$5+Belgium!I$4+Denmark!I$5+France!I$9+Germany!I$5+Italy!I$5+Switzerland!I$5+Netherlands!I$3+Poland!I$4</f>
        <v>9409</v>
      </c>
      <c r="J10" s="91">
        <f>Austria!J$5+Belgium!J$4+Denmark!J$5+France!J$9+Germany!J$5+Italy!J$5+Switzerland!J$5+Netherlands!J$3+Poland!J$4</f>
        <v>7240</v>
      </c>
      <c r="K10" s="91">
        <f>Austria!K$5+Belgium!K$4+Denmark!K$5+France!K$9+Germany!K$5+Italy!K$5+Switzerland!K$5+Netherlands!K$3+Poland!K$4</f>
        <v>16599</v>
      </c>
      <c r="L10" s="91">
        <f>Austria!L$5+Belgium!L$4+Denmark!L$5+France!L$9+Germany!L$5+Italy!L$5+Switzerland!L$5+Netherlands!L$3+Poland!L$4</f>
        <v>9377</v>
      </c>
      <c r="M10" s="91">
        <f>Austria!M$5+Belgium!M$4+Denmark!M$5+France!M$9+Germany!M$5+Italy!M$5+Switzerland!M$5+Netherlands!M$3+Poland!M$4</f>
        <v>3218</v>
      </c>
      <c r="N10" s="91">
        <f>Austria!N$5+Belgium!N$4+Denmark!N$5+France!N$9+Germany!N$5+Italy!N$5+Switzerland!N$5+Netherlands!N$3+Poland!N$4</f>
        <v>8910</v>
      </c>
      <c r="O10" s="91">
        <f>Austria!O$5+Belgium!O$4+Denmark!O$5+France!O$9+Germany!O$5+Italy!O$5+Switzerland!O$5+Netherlands!O$3+Poland!O$4</f>
        <v>6029</v>
      </c>
      <c r="P10" s="91">
        <f>Austria!P$5+Belgium!P$4+Denmark!P$5+Germany!P$5+Italy!P$5+Switzerland!P$5+Netherlands!P$3+Poland!P$4</f>
        <v>11661</v>
      </c>
      <c r="Q10" s="93">
        <f>Austria!Q$5+Belgium!Q$4+Denmark!Q$5+Germany!Q$5+Italy!Q$5+Switzerland!Q$5+Netherlands!Q$3+Poland!Q$4</f>
        <v>6562</v>
      </c>
    </row>
    <row r="11" spans="1:17" ht="12.75">
      <c r="A11" s="54" t="s">
        <v>12</v>
      </c>
      <c r="B11" s="61">
        <f t="shared" si="0"/>
        <v>0.1643083471638519</v>
      </c>
      <c r="C11" s="100">
        <f>E11-'[1]EU - variety'!E11</f>
        <v>-20163.12382785162</v>
      </c>
      <c r="D11" s="91">
        <f>F11-'[1]EU - variety'!F11</f>
        <v>-22879.38304164536</v>
      </c>
      <c r="E11" s="57">
        <f>Austria!E$7+Denmark!E$6+France!E$10+Germany!E$6+Italy!E$6+Spain!E$2</f>
        <v>17338.497613738607</v>
      </c>
      <c r="F11" s="91">
        <f>Austria!F$7+Denmark!F$6+France!F$10+Germany!F$6+Italy!F$6+Spain!F$2</f>
        <v>14891.671657232033</v>
      </c>
      <c r="G11" s="91">
        <f>Austria!G$7+Denmark!G$6+France!G$10+Germany!G$6+Italy!G$6+Spain!G$2</f>
        <v>25978</v>
      </c>
      <c r="H11" s="91">
        <f>Austria!H$7+Denmark!H$6+France!H$10+Germany!H$6+Italy!H$6+Spain!H$2</f>
        <v>5375.4</v>
      </c>
      <c r="I11" s="91">
        <f>Austria!I$7+Denmark!I$6+France!I$10+Germany!I$6+Italy!I$6+Spain!I$2</f>
        <v>16691</v>
      </c>
      <c r="J11" s="91">
        <f>Austria!J$7+Denmark!J$6+France!J$10+Germany!J$6+Italy!J$6+Spain!J$2</f>
        <v>23330</v>
      </c>
      <c r="K11" s="91">
        <f>Austria!K$7+Denmark!K$6+France!K$10+Germany!K$6+Italy!K$6+Spain!K$2</f>
        <v>13133.223627599264</v>
      </c>
      <c r="L11" s="91">
        <f>Austria!L$7+Denmark!L$6+France!L$10+Germany!L$6+Italy!L$6+Spain!L$2</f>
        <v>26358.031227739746</v>
      </c>
      <c r="M11" s="91">
        <f>Austria!M$7+Denmark!M$6+France!M$10+Germany!M$6+Italy!M$6+Spain!M$2</f>
        <v>4441.017559499484</v>
      </c>
      <c r="N11" s="91">
        <f>Austria!N$7+Denmark!N$6+France!N$10+Germany!N$6+Italy!N$6+Spain!N$2</f>
        <v>7499.314387781517</v>
      </c>
      <c r="O11" s="91">
        <f>Austria!O$7+Denmark!O$6+France!O$10+Germany!O$6+Italy!O$6+Spain!O$2</f>
        <v>13785.052556375655</v>
      </c>
      <c r="P11" s="91">
        <f>Austria!P$7+Denmark!P$6+Germany!P$6+Italy!P$6+Spain!P$2</f>
        <v>6749.7</v>
      </c>
      <c r="Q11" s="93">
        <f>Austria!Q$7+Denmark!Q$6+Germany!Q$6+Italy!Q$6+Spain!Q$2</f>
        <v>4769.6</v>
      </c>
    </row>
    <row r="12" spans="1:17" ht="12.75">
      <c r="A12" s="54" t="s">
        <v>9</v>
      </c>
      <c r="B12" s="61">
        <f t="shared" si="0"/>
        <v>0.4595429325000856</v>
      </c>
      <c r="C12" s="100">
        <f>E12-'[1]EU - variety'!E12</f>
        <v>-27292.517505945005</v>
      </c>
      <c r="D12" s="91">
        <f>F12-'[1]EU - variety'!F12</f>
        <v>-26532.496722589884</v>
      </c>
      <c r="E12" s="57">
        <f>Austria!E$8+'Czech Republic'!E$3+Denmark!E$7+France!E$11+Germany!E$7+Italy!E$7+Spain!E$3+Switzerland!E$6+UK!E$6+Poland!E$5</f>
        <v>30258.85</v>
      </c>
      <c r="F12" s="91">
        <f>Austria!F$8+'Czech Republic'!F$3+Denmark!F$7+France!F$11+Germany!F$7+Italy!F$7+Spain!F$3+Switzerland!F$6+UK!F$6+Poland!F$5</f>
        <v>20731.73</v>
      </c>
      <c r="G12" s="91">
        <f>Austria!G$8+'Czech Republic'!G$3+Denmark!G$7+France!G$11+Germany!G$7+Italy!G$7+Spain!G$3+Switzerland!G$6+UK!G$6+Poland!G$5</f>
        <v>29419</v>
      </c>
      <c r="H12" s="91">
        <f>Austria!H$8+'Czech Republic'!H$3+Denmark!H$7+France!H$11+Germany!H$7+Italy!H$7+Spain!H$3+Switzerland!H$6+UK!H$6+Poland!H$5</f>
        <v>6992</v>
      </c>
      <c r="I12" s="91">
        <f>Austria!I$8+'Czech Republic'!I$3+Denmark!I$7+France!I$11+Germany!I$7+Italy!I$7+Spain!I$3+Switzerland!I$6+UK!I$6+Poland!I$5</f>
        <v>8580</v>
      </c>
      <c r="J12" s="91">
        <f>Austria!J$8+'Czech Republic'!J$3+Denmark!J$7+France!J$11+Germany!J$7+Italy!J$7+Spain!J$3+Switzerland!J$6+UK!J$6+Poland!J$5</f>
        <v>10946</v>
      </c>
      <c r="K12" s="91">
        <f>Austria!K$8+'Czech Republic'!K$3+Denmark!K$7+France!K$11+Germany!K$7+Italy!K$7+Spain!K$3+Switzerland!K$6+UK!K$6+Poland!K$5</f>
        <v>11545.358174493496</v>
      </c>
      <c r="L12" s="91">
        <f>Austria!L$8+'Czech Republic'!L$3+Denmark!L$7+France!L$11+Germany!L$7+Italy!L$7+Spain!L$3+Switzerland!L$6+UK!L$6+Poland!L$5</f>
        <v>16121.177103623355</v>
      </c>
      <c r="M12" s="91">
        <f>Austria!M$8+'Czech Republic'!M$3+Denmark!M$7+France!M$11+Germany!M$7+Italy!M$7+Spain!M$3+Switzerland!M$6+UK!M$6+Poland!M$5</f>
        <v>3881</v>
      </c>
      <c r="N12" s="91">
        <f>Austria!N$8+'Czech Republic'!N$3+Denmark!N$7+France!N$11+Germany!N$7+Italy!N$7+Spain!N$3+Switzerland!N$6+UK!N$6+Poland!N$5</f>
        <v>8311</v>
      </c>
      <c r="O12" s="91">
        <f>Austria!O$8+'Czech Republic'!O$3+Denmark!O$7+France!O$11+Germany!O$7+Italy!O$7+Spain!O$3+Switzerland!O$6+UK!O$6+Poland!O$5</f>
        <v>11644.901934427464</v>
      </c>
      <c r="P12" s="91">
        <f>Austria!P$8+'Czech Republic'!P$3+Denmark!P$7+Germany!P$7+Italy!P$7+Spain!P$3+Switzerland!P$6+UK!P$6+Poland!P$5</f>
        <v>13894</v>
      </c>
      <c r="Q12" s="93">
        <f>Austria!Q$8+'Czech Republic'!Q$3+Denmark!Q$7+Germany!Q$7+Italy!Q$7+Spain!Q$3+Switzerland!Q$6+UK!Q$6+Poland!Q$5</f>
        <v>6397</v>
      </c>
    </row>
    <row r="13" spans="1:17" ht="12.75">
      <c r="A13" s="54" t="s">
        <v>14</v>
      </c>
      <c r="B13" s="61">
        <f t="shared" si="0"/>
        <v>1.5</v>
      </c>
      <c r="C13" s="100">
        <f>E13-'[1]EU - variety'!E13</f>
        <v>-15046</v>
      </c>
      <c r="D13" s="91">
        <f>F13-'[1]EU - variety'!F13</f>
        <v>-14000</v>
      </c>
      <c r="E13" s="57">
        <f>Austria!E$9+Belgium!E$5+'Czech Republic'!E$4+Denmark!E$8+Germany!E$8+Italy!E$8+Poland!E$6</f>
        <v>20000</v>
      </c>
      <c r="F13" s="91">
        <f>Austria!F$9+Belgium!F$5+'Czech Republic'!F$4+Denmark!F$8+Germany!F$8+Italy!F$8+Poland!F$6</f>
        <v>8000</v>
      </c>
      <c r="G13" s="91">
        <f>Austria!G$9+Belgium!G$5+'Czech Republic'!G$4+Denmark!G$8+Germany!G$8+Italy!G$8+Poland!G$6</f>
        <v>15274</v>
      </c>
      <c r="H13" s="91">
        <f>Austria!H$9+Belgium!H$5+'Czech Republic'!H$4+Denmark!H$8+Germany!H$8+Italy!H$8+Poland!H$6</f>
        <v>12087</v>
      </c>
      <c r="I13" s="91">
        <f>Austria!I$9+Belgium!I$5+'Czech Republic'!I$4+Denmark!I$8+Germany!I$8+Italy!I$8+Poland!I$6</f>
        <v>12097</v>
      </c>
      <c r="J13" s="91">
        <f>Austria!J$9+Belgium!J$5+'Czech Republic'!J$4+Denmark!J$8+Germany!J$8+Italy!J$8+Poland!J$6</f>
        <v>10244</v>
      </c>
      <c r="K13" s="91">
        <f>Austria!K$9+Belgium!K$5+'Czech Republic'!K$4+Denmark!K$8+Germany!K$8+Italy!K$8+Poland!K$6</f>
        <v>5005</v>
      </c>
      <c r="L13" s="91">
        <f>Austria!L$9+Belgium!L$5+'Czech Republic'!L$4+Denmark!L$8+Germany!L$8+Italy!L$8+Poland!L$6</f>
        <v>5062</v>
      </c>
      <c r="M13" s="91">
        <f>Austria!M$9+Belgium!M$5+'Czech Republic'!M$4+Denmark!M$8+Germany!M$8+Italy!M$8+Poland!M$6</f>
        <v>5020</v>
      </c>
      <c r="N13" s="91">
        <f>Austria!N$9+Belgium!N$5+'Czech Republic'!N$4+Denmark!N$8+Germany!N$8+Italy!N$8+Poland!N$6</f>
        <v>5049.152244369661</v>
      </c>
      <c r="O13" s="91">
        <f>Austria!O$9+Belgium!O$5+'Czech Republic'!O$4+Denmark!O$8+Germany!O$8+Italy!O$8+Poland!O$6</f>
        <v>357</v>
      </c>
      <c r="P13" s="91">
        <f>Austria!P$9+Belgium!P$5+'Czech Republic'!P$4+Denmark!P$8+Germany!P$8+Italy!P$8+Poland!P$6</f>
        <v>596</v>
      </c>
      <c r="Q13" s="93">
        <f>Austria!Q$9+Belgium!Q$5+'Czech Republic'!Q$4+Denmark!Q$8+Germany!Q$8+Italy!Q$8+Poland!Q$6</f>
        <v>137</v>
      </c>
    </row>
    <row r="14" spans="1:17" ht="12.75">
      <c r="A14" s="54" t="s">
        <v>3</v>
      </c>
      <c r="B14" s="61">
        <f t="shared" si="0"/>
        <v>-0.1413389651520546</v>
      </c>
      <c r="C14" s="100">
        <f>E14-'[1]EU - variety'!E14</f>
        <v>-119448.93991762359</v>
      </c>
      <c r="D14" s="91">
        <f>F14-'[1]EU - variety'!F14</f>
        <v>-148532.2778690231</v>
      </c>
      <c r="E14" s="57">
        <f>Austria!E$10+Belgium!E$6+'Czech Republic'!E$5+France!E$12+Germany!E$9+Italy!E$9+Spain!E$4+Switzerland!E$8+Netherlands!E$4+Poland!E$7</f>
        <v>278460.3647168804</v>
      </c>
      <c r="F14" s="91">
        <f>Austria!F$10+Belgium!F$6+'Czech Republic'!F$5+France!F$12+Germany!F$9+Italy!F$9+Spain!F$4+Switzerland!F$8+Netherlands!F$4+Poland!F$7</f>
        <v>324296.03</v>
      </c>
      <c r="G14" s="91">
        <f>Austria!G$10+Belgium!G$6+'Czech Republic'!G$5+France!G$12+Germany!G$9+Italy!G$9+Spain!G$4+Switzerland!G$8+Netherlands!G$4+Poland!G$7</f>
        <v>364221.16</v>
      </c>
      <c r="H14" s="91">
        <f>Austria!H$10+Belgium!H$6+'Czech Republic'!H$5+France!H$12+Germany!H$9+Italy!H$9+Spain!H$4+Switzerland!H$8+Netherlands!H$4+Poland!H$7</f>
        <v>160442</v>
      </c>
      <c r="I14" s="91">
        <f>Austria!I$10+Belgium!I$6+'Czech Republic'!I$5+France!I$12+Germany!I$9+Italy!I$9+Spain!I$4+Switzerland!I$8+Netherlands!I$4+Poland!I$7</f>
        <v>386159</v>
      </c>
      <c r="J14" s="91">
        <f>Austria!J$10+Belgium!J$6+'Czech Republic'!J$5+France!J$12+Germany!J$9+Italy!J$9+Spain!J$4+Switzerland!J$8+Netherlands!J$4+Poland!J$7</f>
        <v>351993</v>
      </c>
      <c r="K14" s="91">
        <f>Austria!K$10+Belgium!K$6+'Czech Republic'!K$5+France!K$12+Germany!K$9+Italy!K$9+Spain!K$4+Switzerland!K$8+Netherlands!K$4+Poland!K$7</f>
        <v>358982.31799065194</v>
      </c>
      <c r="L14" s="91">
        <f>Austria!L$10+Belgium!L$6+'Czech Republic'!L$5+France!L$12+Germany!L$9+Italy!L$9+Spain!L$4+Switzerland!L$8+Netherlands!L$4+Poland!L$7</f>
        <v>338716.94171554595</v>
      </c>
      <c r="M14" s="91">
        <f>Austria!M$10+Belgium!M$6+'Czech Republic'!M$5+France!M$12+Germany!M$9+Italy!M$9+Spain!M$4+Switzerland!M$8+Netherlands!M$4+Poland!M$7</f>
        <v>190759.86908264243</v>
      </c>
      <c r="N14" s="91">
        <f>Austria!N$10+Belgium!N$6+'Czech Republic'!N$5+France!N$12+Germany!N$9+Italy!N$9+Spain!N$4+Switzerland!N$8+Netherlands!N$4+Poland!N$7</f>
        <v>302782.84371731814</v>
      </c>
      <c r="O14" s="91">
        <f>Austria!O$10+Belgium!O$6+'Czech Republic'!O$5+France!O$12+Germany!O$9+Italy!O$9+Spain!O$4+Switzerland!O$8+Netherlands!O$4+Poland!O$7</f>
        <v>263115.0996611672</v>
      </c>
      <c r="P14" s="91">
        <f>Austria!P$10+Belgium!P$6+'Czech Republic'!P$5+Germany!P$9+Italy!P$9+Spain!P$4+Switzerland!P$8+Netherlands!P$4+Poland!P$7</f>
        <v>238143.03</v>
      </c>
      <c r="Q14" s="93">
        <f>Austria!Q$10+Belgium!Q$6+'Czech Republic'!Q$5+Germany!Q$9+Italy!Q$9+Spain!Q$4+Switzerland!Q$8+Netherlands!Q$4+Poland!Q$7</f>
        <v>285071.1</v>
      </c>
    </row>
    <row r="15" spans="1:17" ht="12.75">
      <c r="A15" s="54" t="s">
        <v>17</v>
      </c>
      <c r="B15" s="61">
        <f t="shared" si="0"/>
        <v>0.10020596394368002</v>
      </c>
      <c r="C15" s="100">
        <f>E15-'[1]EU - variety'!E15</f>
        <v>-29938.226636696098</v>
      </c>
      <c r="D15" s="91">
        <f>F15-'[1]EU - variety'!F15</f>
        <v>-16225.481417003015</v>
      </c>
      <c r="E15" s="57">
        <f>Austria!E$11+France!E$14+Italy!E$10+Spain!E$5+Switzerland!E$9</f>
        <v>36314.49825188905</v>
      </c>
      <c r="F15" s="91">
        <f>Austria!F$11+France!F$14+Italy!F$10+Spain!F$5+Switzerland!F$9</f>
        <v>33007</v>
      </c>
      <c r="G15" s="91">
        <f>Austria!G$11+France!G$14+Italy!G$10+Spain!G$5+Switzerland!G$9</f>
        <v>40741</v>
      </c>
      <c r="H15" s="91">
        <f>Austria!H$11+France!H$14+Italy!H$10+Spain!H$5+Switzerland!H$9</f>
        <v>26266.9</v>
      </c>
      <c r="I15" s="91">
        <f>Austria!I$11+France!I$14+Italy!I$10+Spain!I$5+Switzerland!I$9</f>
        <v>20452</v>
      </c>
      <c r="J15" s="91">
        <f>Austria!J$11+France!J$14+Italy!J$10+Spain!J$5+Switzerland!J$9</f>
        <v>38250</v>
      </c>
      <c r="K15" s="91">
        <f>Austria!K$11+France!K$14+Italy!K$10+Spain!K$5+Switzerland!K$9</f>
        <v>24204.316742293162</v>
      </c>
      <c r="L15" s="91">
        <f>Austria!L$11+France!L$14+Italy!L$10+Spain!L$5+Switzerland!L$9</f>
        <v>26971.754900265147</v>
      </c>
      <c r="M15" s="91">
        <f>Austria!M$11+France!M$14+Italy!M$10+Spain!M$5+Switzerland!M$9</f>
        <v>8801.299865900277</v>
      </c>
      <c r="N15" s="91">
        <f>Austria!N$11+France!N$14+Italy!N$10+Spain!N$5+Switzerland!N$9</f>
        <v>13623.82196220554</v>
      </c>
      <c r="O15" s="91">
        <f>Austria!O$11+France!O$14+Italy!O$10+Spain!O$5+Switzerland!O$9</f>
        <v>9739.006971426745</v>
      </c>
      <c r="P15" s="91">
        <f>Austria!P$11+Italy!P$10+Spain!P$5+Switzerland!P$9</f>
        <v>2917.11</v>
      </c>
      <c r="Q15" s="93">
        <f>Austria!Q$11+Italy!Q$10+Spain!Q$5+Switzerland!Q$9</f>
        <v>3557</v>
      </c>
    </row>
    <row r="16" spans="1:17" ht="12.75">
      <c r="A16" s="54" t="s">
        <v>15</v>
      </c>
      <c r="B16" s="61"/>
      <c r="C16" s="100">
        <f>E16-'[1]EU - variety'!E16</f>
        <v>0</v>
      </c>
      <c r="D16" s="91">
        <f>F16-'[1]EU - variety'!F16</f>
        <v>0</v>
      </c>
      <c r="E16" s="57">
        <f>Denmark!E$9+Germany!E$10</f>
        <v>0</v>
      </c>
      <c r="F16" s="91">
        <f>Denmark!F$9+Germany!F$10</f>
        <v>0</v>
      </c>
      <c r="G16" s="91">
        <f>Denmark!G$9+Germany!G$10</f>
        <v>0</v>
      </c>
      <c r="H16" s="91">
        <f>Denmark!H$9+Germany!H$10</f>
        <v>0</v>
      </c>
      <c r="I16" s="91">
        <f>Denmark!I$9+Germany!I$10</f>
        <v>0</v>
      </c>
      <c r="J16" s="91">
        <f>Denmark!J$9+Germany!J$10</f>
        <v>0</v>
      </c>
      <c r="K16" s="91">
        <f>Denmark!K$9+Germany!K$10</f>
        <v>0</v>
      </c>
      <c r="L16" s="91">
        <f>Denmark!L$9+Germany!L$10</f>
        <v>0</v>
      </c>
      <c r="M16" s="91">
        <f>Denmark!M$9+Germany!M$10</f>
        <v>0</v>
      </c>
      <c r="N16" s="91">
        <f>Denmark!N$9+Germany!N$10</f>
        <v>0</v>
      </c>
      <c r="O16" s="91">
        <f>Denmark!O$9+Germany!O$10</f>
        <v>0</v>
      </c>
      <c r="P16" s="91">
        <f>Denmark!P$9+Germany!P$10</f>
        <v>0</v>
      </c>
      <c r="Q16" s="93">
        <f>Denmark!Q$9+Germany!Q$10</f>
        <v>0</v>
      </c>
    </row>
    <row r="17" spans="1:18" ht="12.75">
      <c r="A17" s="54" t="s">
        <v>10</v>
      </c>
      <c r="B17" s="61">
        <f t="shared" si="0"/>
        <v>3.203220651069963</v>
      </c>
      <c r="C17" s="100">
        <f>E17-'[1]EU - variety'!E17</f>
        <v>-38362.350000000006</v>
      </c>
      <c r="D17" s="91">
        <f>F17-'[1]EU - variety'!F17</f>
        <v>-36649.170000000006</v>
      </c>
      <c r="E17" s="57">
        <f>Austria!E$12+'Czech Republic'!E$6+Denmark!E$10+France!E$16+Germany!E$11+Italy!E$11+Switzerland!E$10+Poland!E$8</f>
        <v>82977.25</v>
      </c>
      <c r="F17" s="91">
        <f>Austria!F$12+'Czech Republic'!F$6+Denmark!F$10+France!F$16+Germany!F$11+Italy!F$11+Switzerland!F$10+Poland!F$8</f>
        <v>19741.35</v>
      </c>
      <c r="G17" s="91">
        <f>Austria!G$12+'Czech Republic'!G$6+Denmark!G$10+France!G$16+Germany!G$11+Italy!G$11+Switzerland!G$10+Poland!G$8</f>
        <v>94867</v>
      </c>
      <c r="H17" s="91">
        <f>Austria!H$12+'Czech Republic'!H$6+Denmark!H$10+France!H$16+Germany!H$11+Italy!H$11+Switzerland!H$10+Poland!H$8</f>
        <v>44527</v>
      </c>
      <c r="I17" s="91">
        <f>Austria!I$12+'Czech Republic'!I$6+Denmark!I$10+France!I$16+Germany!I$11+Italy!I$11+Switzerland!I$10+Poland!I$8</f>
        <v>65113</v>
      </c>
      <c r="J17" s="91">
        <f>Austria!J$12+'Czech Republic'!J$6+Denmark!J$10+France!J$16+Germany!J$11+Italy!J$11+Switzerland!J$10+Poland!J$8</f>
        <v>81146</v>
      </c>
      <c r="K17" s="91">
        <f>Austria!K$12+'Czech Republic'!K$6+Denmark!K$10+France!K$16+Germany!K$11+Italy!K$11+Switzerland!K$10+Poland!K$8</f>
        <v>47473</v>
      </c>
      <c r="L17" s="91">
        <f>Austria!L$12+'Czech Republic'!L$6+Denmark!L$10+France!L$16+Germany!L$11+Italy!L$11+Switzerland!L$10+Poland!L$8</f>
        <v>69040</v>
      </c>
      <c r="M17" s="91">
        <f>Austria!M$12+'Czech Republic'!M$6+Denmark!M$10+France!M$16+Germany!M$11+Italy!M$11+Switzerland!M$10+Poland!M$8</f>
        <v>41395</v>
      </c>
      <c r="N17" s="91">
        <f>Austria!N$12+'Czech Republic'!N$6+Denmark!N$10+France!N$16+Germany!N$11+Italy!N$11+Switzerland!N$10+Poland!N$8</f>
        <v>36592.82474760549</v>
      </c>
      <c r="O17" s="91">
        <f>Austria!O$12+'Czech Republic'!O$6+Denmark!O$10+France!O$16+Germany!O$11+Italy!O$11+Switzerland!O$10+Poland!O$8</f>
        <v>17988.03989382965</v>
      </c>
      <c r="P17" s="91">
        <f>Austria!P$12+'Czech Republic'!P$6+Denmark!P$10+Germany!P$11+Italy!P$11+Switzerland!P$10+Poland!P$8</f>
        <v>54390.07</v>
      </c>
      <c r="Q17" s="93">
        <f>Austria!Q$12+'Czech Republic'!Q$6+Denmark!Q$10+Germany!Q$11+Italy!Q$11+Switzerland!Q$10+Poland!Q$8</f>
        <v>38762</v>
      </c>
      <c r="R17" s="1"/>
    </row>
    <row r="18" spans="1:18" ht="12.75">
      <c r="A18" s="54" t="s">
        <v>27</v>
      </c>
      <c r="B18" s="61">
        <f t="shared" si="0"/>
        <v>0.04141392144682939</v>
      </c>
      <c r="C18" s="100">
        <f>E18-'[1]EU - variety'!E18</f>
        <v>-26151.421417927</v>
      </c>
      <c r="D18" s="91">
        <f>F18-'[1]EU - variety'!F18</f>
        <v>-24166.890000000014</v>
      </c>
      <c r="E18" s="57">
        <f>Austria!E$13+Belgium!E$7+'Czech Republic'!E$7+Denmark!E$12+France!E$18+Germany!E$13+Italy!E$12+Switzerland!E$11+Netherlands!E$5+UK!E$7+Poland!E$9</f>
        <v>59634.35</v>
      </c>
      <c r="F18" s="91">
        <f>Austria!F$13+Belgium!F$7+'Czech Republic'!F$7+Denmark!F$12+France!F$18+Germany!F$13+Italy!F$12+Switzerland!F$11+Netherlands!F$5+UK!F$7+Poland!F$9</f>
        <v>57262.869999999995</v>
      </c>
      <c r="G18" s="91">
        <f>Austria!G$13+Belgium!G$7+'Czech Republic'!G$7+Denmark!G$12+France!G$18+Germany!G$13+Italy!G$12+Switzerland!G$11+Netherlands!G$5+UK!G$7+Poland!G$9</f>
        <v>75707.4866</v>
      </c>
      <c r="H18" s="91">
        <f>Austria!H$13+Belgium!H$7+'Czech Republic'!H$7+Denmark!H$12+France!H$18+Germany!H$13+Italy!H$12+Switzerland!H$11+Netherlands!H$5+UK!H$7+Poland!H$9</f>
        <v>23855</v>
      </c>
      <c r="I18" s="91">
        <f>Austria!I$13+Belgium!I$7+'Czech Republic'!I$7+Denmark!I$12+France!I$18+Germany!I$13+Italy!I$12+Switzerland!I$11+Netherlands!I$5+UK!I$7+Poland!I$9</f>
        <v>72528</v>
      </c>
      <c r="J18" s="91">
        <f>Austria!J$13+Belgium!J$7+'Czech Republic'!J$7+Denmark!J$12+France!J$18+Germany!J$13+Italy!J$12+Switzerland!J$11+Netherlands!J$5+UK!J$7+Poland!J$9</f>
        <v>87348</v>
      </c>
      <c r="K18" s="91">
        <f>Austria!K$13+Belgium!K$7+'Czech Republic'!K$7+Denmark!K$12+France!K$18+Germany!K$13+Italy!K$12+Switzerland!K$11+Netherlands!K$5+UK!K$7+Poland!K$9</f>
        <v>97191</v>
      </c>
      <c r="L18" s="91">
        <f>Austria!L$13+Belgium!L$7+'Czech Republic'!L$7+Denmark!L$13+France!L$18+Germany!L$13+Italy!L$12+Switzerland!L$11+Netherlands!L$5+UK!L$7+Poland!L$9</f>
        <v>76023</v>
      </c>
      <c r="M18" s="91">
        <f>Austria!M$13+Belgium!M$7+'Czech Republic'!M$7+Denmark!M$13+France!M$18+Germany!M$13+Italy!M$12+Switzerland!M$11+Netherlands!M$5+UK!M$7+Poland!M$9</f>
        <v>54479</v>
      </c>
      <c r="N18" s="91">
        <f>Austria!N$13+Belgium!N$7+'Czech Republic'!N$7+Denmark!N$13+France!N$18+Germany!N$13+Italy!N$12+Switzerland!N$11+Netherlands!N$5+UK!N$7+Poland!N$9</f>
        <v>90450.1921615325</v>
      </c>
      <c r="O18" s="91">
        <f>Austria!O$13+Belgium!O$7+'Czech Republic'!O$7+Denmark!O$12+France!O$18+Germany!O$13+Italy!O$12+Switzerland!O$11+Netherlands!O$5+UK!O$7+Poland!O$9</f>
        <v>69752.83010078722</v>
      </c>
      <c r="P18" s="91">
        <f>Austria!P$13+Belgium!P$7+'Czech Republic'!P$7+Denmark!P$12+Germany!P$13+Italy!P$12+Switzerland!P$11+Netherlands!P$5+UK!P$7+Poland!P$9</f>
        <v>119031.94</v>
      </c>
      <c r="Q18" s="93">
        <f>Austria!Q$13+Belgium!Q$7+'Czech Republic'!Q$7+Denmark!Q$12+Germany!Q$13+Italy!Q$12+Switzerland!Q$11+Netherlands!Q$5+UK!Q$7+Poland!Q$9</f>
        <v>134385</v>
      </c>
      <c r="R18" s="1"/>
    </row>
    <row r="19" spans="1:17" ht="12.75">
      <c r="A19" s="54" t="s">
        <v>26</v>
      </c>
      <c r="B19" s="61">
        <f t="shared" si="0"/>
        <v>-0.4232071967075791</v>
      </c>
      <c r="C19" s="100">
        <f>E19-'[1]EU - variety'!E19</f>
        <v>-6875.288046215188</v>
      </c>
      <c r="D19" s="91">
        <f>F19-'[1]EU - variety'!F19</f>
        <v>-8493</v>
      </c>
      <c r="E19" s="57">
        <f>Austria!E$14+Belgium!E$8+Denmark!E$13+Germany!E$14+UK!E$8</f>
        <v>15837</v>
      </c>
      <c r="F19" s="91">
        <f>Austria!F$14+Belgium!F$8+Denmark!F$13+Germany!F$14+UK!F$8</f>
        <v>27457</v>
      </c>
      <c r="G19" s="91">
        <f>Austria!G$14+Belgium!G$8+Denmark!G$13+Germany!G$14+UK!G$8</f>
        <v>36557</v>
      </c>
      <c r="H19" s="91">
        <f>Austria!H$14+Belgium!H$8+Denmark!H$13+Germany!H$14+UK!H$8</f>
        <v>3823</v>
      </c>
      <c r="I19" s="91">
        <f>Austria!I$14+Belgium!I$8+Denmark!I$13+Germany!I$14+UK!I$8</f>
        <v>26646</v>
      </c>
      <c r="J19" s="91">
        <f>Austria!J$14+Belgium!J$8+Denmark!J$13+Germany!J$14+UK!J$8</f>
        <v>31592</v>
      </c>
      <c r="K19" s="91">
        <f>Austria!K$14+Belgium!K$8+Denmark!K$13+Germany!K$14+UK!K$8</f>
        <v>37186</v>
      </c>
      <c r="L19" s="91">
        <f>Austria!L$14+Belgium!L$8+Denmark!L$14+Germany!L$14+UK!L$8</f>
        <v>25772</v>
      </c>
      <c r="M19" s="91">
        <f>Austria!M$14+Belgium!M$8+Denmark!M$14+Germany!M$14+UK!M$8</f>
        <v>25109</v>
      </c>
      <c r="N19" s="91">
        <f>Austria!N$14+Belgium!N$8+Denmark!N$14+Germany!N$14+UK!N$8</f>
        <v>28173</v>
      </c>
      <c r="O19" s="91">
        <f>Austria!O$14+Belgium!O$8+Denmark!O$13+Germany!O$14+UK!O$8</f>
        <v>18015</v>
      </c>
      <c r="P19" s="91">
        <f>Austria!P$14+Belgium!P$8+Denmark!P$13+Germany!P$14+UK!P$8</f>
        <v>30592</v>
      </c>
      <c r="Q19" s="93">
        <f>Austria!Q$14+Belgium!Q$8+Denmark!Q$13+Germany!Q$14+UK!Q$8</f>
        <v>26775</v>
      </c>
    </row>
    <row r="20" spans="1:20" ht="12.75">
      <c r="A20" s="54" t="s">
        <v>51</v>
      </c>
      <c r="B20" s="61"/>
      <c r="C20" s="100">
        <f>E20-'[1]EU - variety'!E20</f>
        <v>0</v>
      </c>
      <c r="D20" s="91">
        <f>F20-'[1]EU - variety'!F20</f>
        <v>0</v>
      </c>
      <c r="E20" s="57">
        <f>Italy!E$13</f>
        <v>0</v>
      </c>
      <c r="F20" s="91">
        <f>Italy!F$13</f>
        <v>0</v>
      </c>
      <c r="G20" s="91">
        <f>Italy!G$13</f>
        <v>0</v>
      </c>
      <c r="H20" s="91">
        <f>Italy!H$13</f>
        <v>0</v>
      </c>
      <c r="I20" s="91">
        <f>Italy!I$13</f>
        <v>0</v>
      </c>
      <c r="J20" s="91">
        <f>Italy!J$13</f>
        <v>0</v>
      </c>
      <c r="K20" s="91">
        <f>Italy!K$13</f>
        <v>0</v>
      </c>
      <c r="L20" s="91">
        <f>Italy!L$13</f>
        <v>0</v>
      </c>
      <c r="M20" s="91">
        <f>Italy!M$13</f>
        <v>0</v>
      </c>
      <c r="N20" s="91">
        <f>Italy!N$13</f>
        <v>0</v>
      </c>
      <c r="O20" s="91">
        <f>Italy!O$13+Poland!O$10</f>
        <v>0</v>
      </c>
      <c r="P20" s="91">
        <f>Italy!P$13+Poland!P$10</f>
        <v>0</v>
      </c>
      <c r="Q20" s="93">
        <f>Italy!Q$13+Poland!Q$10</f>
        <v>0</v>
      </c>
      <c r="T20" s="16"/>
    </row>
    <row r="21" spans="1:17" ht="12.75">
      <c r="A21" s="54" t="s">
        <v>34</v>
      </c>
      <c r="B21" s="61"/>
      <c r="C21" s="100">
        <f>E21-'[1]EU - variety'!E21</f>
        <v>0</v>
      </c>
      <c r="D21" s="91">
        <f>F21-'[1]EU - variety'!F21</f>
        <v>0</v>
      </c>
      <c r="E21" s="57">
        <f>Poland!E$11</f>
        <v>0</v>
      </c>
      <c r="F21" s="91">
        <f>Poland!F$11</f>
        <v>0</v>
      </c>
      <c r="G21" s="91">
        <f>Poland!G$11</f>
        <v>0</v>
      </c>
      <c r="H21" s="91">
        <f>Poland!H$11</f>
        <v>0</v>
      </c>
      <c r="I21" s="91">
        <f>Poland!I$11</f>
        <v>0</v>
      </c>
      <c r="J21" s="91">
        <f>Poland!J$11</f>
        <v>0</v>
      </c>
      <c r="K21" s="91">
        <f>Poland!K$11</f>
        <v>0</v>
      </c>
      <c r="L21" s="91">
        <f>Poland!L$11</f>
        <v>0</v>
      </c>
      <c r="M21" s="91">
        <f>Poland!M$11</f>
        <v>0</v>
      </c>
      <c r="N21" s="91">
        <f>Poland!N$11</f>
        <v>0</v>
      </c>
      <c r="O21" s="91">
        <f>Poland!O$11</f>
        <v>0</v>
      </c>
      <c r="P21" s="91">
        <f>Poland!P$11</f>
        <v>6000</v>
      </c>
      <c r="Q21" s="93">
        <f>Poland!Q$11</f>
        <v>1500</v>
      </c>
    </row>
    <row r="22" spans="1:17" ht="12.75">
      <c r="A22" s="54" t="s">
        <v>18</v>
      </c>
      <c r="B22" s="61">
        <f t="shared" si="0"/>
        <v>2.064621199671323</v>
      </c>
      <c r="C22" s="100">
        <f>E22-'[1]EU - variety'!E22</f>
        <v>-2229.436</v>
      </c>
      <c r="D22" s="91">
        <f>F22-'[1]EU - variety'!F22</f>
        <v>-2029.5500000000002</v>
      </c>
      <c r="E22" s="57">
        <f>Italy!E$14</f>
        <v>3729.644</v>
      </c>
      <c r="F22" s="91">
        <f>Italy!F$14</f>
        <v>1217</v>
      </c>
      <c r="G22" s="91">
        <f>Italy!G$14</f>
        <v>4657</v>
      </c>
      <c r="H22" s="91">
        <f>Italy!H$14</f>
        <v>42.9</v>
      </c>
      <c r="I22" s="91">
        <f>Italy!I$14</f>
        <v>3203</v>
      </c>
      <c r="J22" s="91">
        <f>Italy!J$14</f>
        <v>4487</v>
      </c>
      <c r="K22" s="91">
        <f>Italy!K$14</f>
        <v>4694</v>
      </c>
      <c r="L22" s="91">
        <f>Italy!L$14</f>
        <v>4576</v>
      </c>
      <c r="M22" s="91">
        <f>Italy!M$14</f>
        <v>2699</v>
      </c>
      <c r="N22" s="91">
        <f>Italy!N$14</f>
        <v>1878.8118871343515</v>
      </c>
      <c r="O22" s="91">
        <f>Italy!O$14</f>
        <v>3914.0158989036527</v>
      </c>
      <c r="P22" s="91">
        <f>Italy!P$14</f>
        <v>1304.41</v>
      </c>
      <c r="Q22" s="93">
        <f>Italy!Q$14</f>
        <v>6638</v>
      </c>
    </row>
    <row r="23" spans="1:17" ht="12.75">
      <c r="A23" s="54" t="s">
        <v>13</v>
      </c>
      <c r="B23" s="61">
        <f t="shared" si="0"/>
        <v>1.7421906820687176</v>
      </c>
      <c r="C23" s="100">
        <f>E23-'[1]EU - variety'!E23</f>
        <v>-9144.382199999998</v>
      </c>
      <c r="D23" s="91">
        <f>F23-'[1]EU - variety'!F23</f>
        <v>-9465.73</v>
      </c>
      <c r="E23" s="57">
        <f>Austria!E$16+Denmark!E$15+Germany!E$15+Switzerland!E$14+Poland!E$12+Italy!E$15</f>
        <v>15945.317799999999</v>
      </c>
      <c r="F23" s="91">
        <f>Austria!F$16+Denmark!F$15+Germany!F$15+Switzerland!F$14+Poland!F$12+Italy!F$15</f>
        <v>5814.8099999999995</v>
      </c>
      <c r="G23" s="91">
        <f>Austria!G$16+Denmark!G$15+Germany!G$15+Switzerland!G$14+Poland!G$12+Italy!G$15</f>
        <v>12665</v>
      </c>
      <c r="H23" s="91">
        <f>Austria!H$16+Denmark!H$15+Germany!H$15+Switzerland!H$14+Poland!H$12</f>
        <v>559</v>
      </c>
      <c r="I23" s="91">
        <f>Austria!I$16+Denmark!I$15+Germany!I$15+Switzerland!I$14+Poland!I$12</f>
        <v>3151</v>
      </c>
      <c r="J23" s="91">
        <f>Austria!J$16+Denmark!J$15+Germany!J$15+Switzerland!J$14+Poland!J$12</f>
        <v>3713</v>
      </c>
      <c r="K23" s="91">
        <f>Austria!K$16+Denmark!K$15+Germany!K$15+Switzerland!K$14+Poland!K$12</f>
        <v>3899</v>
      </c>
      <c r="L23" s="91">
        <f>Austria!L$16+Denmark!L$16+Germany!L$15+Switzerland!L$14</f>
        <v>1522</v>
      </c>
      <c r="M23" s="91">
        <f>Austria!M$16+Denmark!M$16+Germany!M$15+Switzerland!M$14</f>
        <v>621</v>
      </c>
      <c r="N23" s="91">
        <f>Austria!N$16+Denmark!N$16+Germany!N$15+Switzerland!N$14</f>
        <v>1984</v>
      </c>
      <c r="O23" s="91">
        <f>Austria!O$16+Denmark!O$15+Germany!O$15+Switzerland!O$14</f>
        <v>1132</v>
      </c>
      <c r="P23" s="91">
        <f>Austria!P$16+Denmark!P$15+Germany!P$15+Switzerland!P$14</f>
        <v>1434</v>
      </c>
      <c r="Q23" s="93">
        <f>Austria!Q$16+Denmark!Q$15+Germany!Q$15+Switzerland!Q$14</f>
        <v>616</v>
      </c>
    </row>
    <row r="24" spans="1:17" ht="12.75">
      <c r="A24" s="54" t="s">
        <v>19</v>
      </c>
      <c r="B24" s="61">
        <f t="shared" si="0"/>
        <v>0.03917475858068958</v>
      </c>
      <c r="C24" s="100">
        <f>E24-'[1]EU - variety'!E24</f>
        <v>-32707.047614626103</v>
      </c>
      <c r="D24" s="91">
        <f>F24-'[1]EU - variety'!F24</f>
        <v>-21469.065319102672</v>
      </c>
      <c r="E24" s="57">
        <f>'Czech Republic'!E$8+France!E$19+Italy!E$16+Spain!E$6+Poland!E$13</f>
        <v>22420.195416378378</v>
      </c>
      <c r="F24" s="91">
        <f>'Czech Republic'!F$8+France!F$19+Italy!F$16+Spain!F$6+Poland!F$13</f>
        <v>21575</v>
      </c>
      <c r="G24" s="91">
        <f>'Czech Republic'!G$8+France!G$19+Italy!G$16+Spain!G$6+Poland!G$13</f>
        <v>25874</v>
      </c>
      <c r="H24" s="91">
        <f>'Czech Republic'!H$8+France!H$19+Italy!H$16+Spain!H$6+Poland!H$13</f>
        <v>8036.099999999999</v>
      </c>
      <c r="I24" s="91">
        <f>'Czech Republic'!I$8+France!I$19+Italy!I$16+Spain!I$6+Poland!I$13</f>
        <v>28307</v>
      </c>
      <c r="J24" s="91">
        <f>'Czech Republic'!J$8+France!J$19+Italy!J$16+Spain!J$6+Poland!J$13</f>
        <v>21236</v>
      </c>
      <c r="K24" s="91">
        <f>'Czech Republic'!K$8+France!K$19+Italy!K$16+Spain!K$6+Poland!K$13</f>
        <v>15019.85788780956</v>
      </c>
      <c r="L24" s="91">
        <f>'Czech Republic'!L$8+France!L$19+Italy!L$16+Spain!L$6+Poland!L$12+Poland!L$13</f>
        <v>19383.89741676471</v>
      </c>
      <c r="M24" s="91">
        <f>'Czech Republic'!M$8+France!M$19+Italy!M$16+Spain!M$6+Poland!M$12+Poland!M$13</f>
        <v>4019.622273511407</v>
      </c>
      <c r="N24" s="91">
        <f>'Czech Republic'!N$8+France!N$19+Italy!N$16+Spain!N$6+Poland!N$12+Poland!N$13</f>
        <v>5691.256991975149</v>
      </c>
      <c r="O24" s="91">
        <f>'Czech Republic'!O$8+France!O$19+Italy!O$16+Spain!O$6+Poland!O$12+Poland!O$13</f>
        <v>7002.601343862277</v>
      </c>
      <c r="P24" s="91">
        <f>'Czech Republic'!P$8+Italy!P$16+Spain!P$6+Poland!P$12+Poland!P$13</f>
        <v>11037.81</v>
      </c>
      <c r="Q24" s="93">
        <f>'Czech Republic'!Q$8+Italy!Q$16+Spain!Q$6+Poland!Q$12+Poland!Q$13</f>
        <v>9108.7</v>
      </c>
    </row>
    <row r="25" spans="1:17" ht="12.75">
      <c r="A25" s="54" t="s">
        <v>136</v>
      </c>
      <c r="B25" s="61">
        <f t="shared" si="0"/>
        <v>0.9617114334475503</v>
      </c>
      <c r="C25" s="100">
        <f>E25-'[1]EU - variety'!E25</f>
        <v>-18283.65000000001</v>
      </c>
      <c r="D25" s="91">
        <f>F25-'[1]EU - variety'!F25</f>
        <v>-20393.570000000007</v>
      </c>
      <c r="E25" s="57">
        <f>Germany!E$16+Austria!E$17+Poland!E$14</f>
        <v>51920.95</v>
      </c>
      <c r="F25" s="91">
        <f>Germany!F$16+Austria!F$17+Poland!F$14</f>
        <v>26467.17</v>
      </c>
      <c r="G25" s="91">
        <f>Germany!G$16+Austria!G$17+Poland!G$14</f>
        <v>41372</v>
      </c>
      <c r="H25" s="91">
        <f>Germany!H$16+Austria!H$17</f>
        <v>13809</v>
      </c>
      <c r="I25" s="91">
        <f>Germany!I$16</f>
        <v>26848</v>
      </c>
      <c r="J25" s="91">
        <f>Germany!J$16</f>
        <v>16081</v>
      </c>
      <c r="K25" s="91">
        <f>Germany!K$16</f>
        <v>10534</v>
      </c>
      <c r="L25" s="91">
        <f>Germany!L$16</f>
        <v>7742</v>
      </c>
      <c r="M25" s="91">
        <f>Germany!M$16</f>
        <v>8421</v>
      </c>
      <c r="N25" s="91">
        <f>Germany!N$16</f>
        <v>6290</v>
      </c>
      <c r="O25" s="91">
        <f>Germany!O$16</f>
        <v>2724</v>
      </c>
      <c r="P25" s="91">
        <f>Germany!P$16</f>
        <v>5220</v>
      </c>
      <c r="Q25" s="93">
        <f>Germany!Q$16</f>
        <v>3536</v>
      </c>
    </row>
    <row r="26" spans="1:103" s="4" customFormat="1" ht="13.5" thickBot="1">
      <c r="A26" s="54" t="s">
        <v>125</v>
      </c>
      <c r="B26" s="61">
        <f t="shared" si="0"/>
        <v>2.169301984126984</v>
      </c>
      <c r="C26" s="100">
        <f>E26-'[1]EU - variety'!E26</f>
        <v>-3638.3513000000003</v>
      </c>
      <c r="D26" s="91">
        <f>F26-'[1]EU - variety'!F26</f>
        <v>-1786.3000000000002</v>
      </c>
      <c r="E26" s="57">
        <f>France!E$21+France!E$20+Italy!E$17+Switzerland!E$12</f>
        <v>5590.6487</v>
      </c>
      <c r="F26" s="91">
        <f>France!F$21+France!F$20+Italy!F$17+Switzerland!F$12</f>
        <v>1764</v>
      </c>
      <c r="G26" s="91">
        <f>France!G$21+France!G$20+Italy!G$17+Switzerland!G$12</f>
        <v>6414</v>
      </c>
      <c r="H26" s="91">
        <f>France!H$21+France!H$20+Italy!H$17+Switzerland!H$12</f>
        <v>347</v>
      </c>
      <c r="I26" s="91">
        <f>France!I$21+France!I$20+Italy!I$17+Switzerland!I$12</f>
        <v>3683</v>
      </c>
      <c r="J26" s="91">
        <f>France!J$21+France!J$20+Italy!J$17+Switzerland!J$12</f>
        <v>3271</v>
      </c>
      <c r="K26" s="91">
        <f>France!K$21+France!K$20+Italy!K$17+Switzerland!K$12</f>
        <v>2518</v>
      </c>
      <c r="L26" s="91">
        <f>France!L$21+France!L$20+Italy!L$17+Switzerland!L$12</f>
        <v>6114</v>
      </c>
      <c r="M26" s="91">
        <f>France!M$21+France!M$20+Italy!M$17+Switzerland!M$12</f>
        <v>2408</v>
      </c>
      <c r="N26" s="91">
        <f>France!N$21+France!N$20+Italy!N$17+Switzerland!N$12</f>
        <v>3159.0555630339113</v>
      </c>
      <c r="O26" s="91">
        <f>France!O$21+France!O$20+Italy!O$17+Switzerland!O$12</f>
        <v>1533</v>
      </c>
      <c r="P26" s="91">
        <f>Italy!P$17+Switzerland!P$12</f>
        <v>841</v>
      </c>
      <c r="Q26" s="93">
        <f>Italy!Q$17+Switzerland!Q$12</f>
        <v>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7" s="16" customFormat="1" ht="12.75">
      <c r="A27" s="54" t="s">
        <v>91</v>
      </c>
      <c r="B27" s="61">
        <f t="shared" si="0"/>
        <v>2.0638</v>
      </c>
      <c r="C27" s="100">
        <f>E27-'[1]EU - variety'!E27</f>
        <v>-20383</v>
      </c>
      <c r="D27" s="91">
        <f>F27-'[1]EU - variety'!F27</f>
        <v>-10004</v>
      </c>
      <c r="E27" s="57">
        <f>'Czech Republic'!E$9+Germany!E$17+Poland!E$15</f>
        <v>15319</v>
      </c>
      <c r="F27" s="91">
        <f>'Czech Republic'!F$9+Germany!F$17+Poland!F$15</f>
        <v>5000</v>
      </c>
      <c r="G27" s="91">
        <f>'Czech Republic'!G$9+Germany!G$17+Poland!G$15</f>
        <v>45237</v>
      </c>
      <c r="H27" s="91">
        <f>'Czech Republic'!H$9+Germany!H$17+Poland!H$15</f>
        <v>5000</v>
      </c>
      <c r="I27" s="91">
        <f>'Czech Republic'!I$9+Germany!I$17+Poland!I$15</f>
        <v>10002</v>
      </c>
      <c r="J27" s="91">
        <f>'Czech Republic'!J$9+Germany!J$17+Poland!J$15</f>
        <v>10085</v>
      </c>
      <c r="K27" s="91">
        <f>'Czech Republic'!K$9+Germany!K$17+Poland!K$15</f>
        <v>10135</v>
      </c>
      <c r="L27" s="91">
        <f>'Czech Republic'!L$9+Germany!L$17+Poland!L$15</f>
        <v>7000</v>
      </c>
      <c r="M27" s="91">
        <f>'Czech Republic'!M$9+Germany!M$17+Poland!M$15</f>
        <v>4001</v>
      </c>
      <c r="N27" s="91">
        <f>'Czech Republic'!N$9+Germany!N$17+Poland!N$15</f>
        <v>3000</v>
      </c>
      <c r="O27" s="91">
        <f>'Czech Republic'!O$9+Germany!O$17+Poland!O$15</f>
        <v>1000</v>
      </c>
      <c r="P27" s="91">
        <f>'Czech Republic'!P$9+Germany!P$17+Poland!P$15</f>
        <v>2000</v>
      </c>
      <c r="Q27" s="93">
        <f>'Czech Republic'!Q$9+Germany!Q$17+Poland!Q$15</f>
        <v>30</v>
      </c>
    </row>
    <row r="28" spans="1:17" ht="12.75">
      <c r="A28" s="54" t="s">
        <v>21</v>
      </c>
      <c r="B28" s="61"/>
      <c r="C28" s="100">
        <f>E28-'[1]EU - variety'!E28</f>
        <v>0</v>
      </c>
      <c r="D28" s="91">
        <f>F28-'[1]EU - variety'!F28</f>
        <v>0</v>
      </c>
      <c r="E28" s="57">
        <f>Italy!E$18</f>
        <v>0</v>
      </c>
      <c r="F28" s="91">
        <f>Italy!F$18</f>
        <v>0</v>
      </c>
      <c r="G28" s="91">
        <f>Italy!G$18</f>
        <v>300</v>
      </c>
      <c r="H28" s="91">
        <f>Italy!H$18</f>
        <v>9</v>
      </c>
      <c r="I28" s="91">
        <f>Italy!I$18</f>
        <v>1179</v>
      </c>
      <c r="J28" s="91">
        <f>Italy!J$18</f>
        <v>2813</v>
      </c>
      <c r="K28" s="91">
        <f>Italy!K$18</f>
        <v>1884</v>
      </c>
      <c r="L28" s="91">
        <f>Italy!L$18</f>
        <v>1796</v>
      </c>
      <c r="M28" s="91">
        <f>Italy!M$18</f>
        <v>0</v>
      </c>
      <c r="N28" s="91">
        <f>Italy!N$18</f>
        <v>1708.924669945638</v>
      </c>
      <c r="O28" s="91">
        <f>Italy!O$18</f>
        <v>2090.154831763696</v>
      </c>
      <c r="P28" s="91">
        <f>Italy!P$18</f>
        <v>279.79</v>
      </c>
      <c r="Q28" s="93">
        <f>Italy!Q$18</f>
        <v>1268</v>
      </c>
    </row>
    <row r="29" spans="1:17" ht="12.75">
      <c r="A29" s="54" t="s">
        <v>35</v>
      </c>
      <c r="B29" s="61"/>
      <c r="C29" s="100">
        <f>E29-'[1]EU - variety'!E29</f>
        <v>-102</v>
      </c>
      <c r="D29" s="91">
        <f>F29-'[1]EU - variety'!F29</f>
        <v>0</v>
      </c>
      <c r="E29" s="57">
        <f>'Czech Republic'!E$10+UK!E$9+Poland!E$16+Denmark!E$16</f>
        <v>0</v>
      </c>
      <c r="F29" s="91">
        <f>'Czech Republic'!F$10+UK!F$9+Poland!F$16+Denmark!F$16</f>
        <v>0</v>
      </c>
      <c r="G29" s="91">
        <f>'Czech Republic'!G$10+UK!G$9+Poland!G$16+Denmark!G$16</f>
        <v>0</v>
      </c>
      <c r="H29" s="91">
        <f>'Czech Republic'!H$10+UK!H$9+Poland!H$16+Denmark!H$16</f>
        <v>0</v>
      </c>
      <c r="I29" s="91">
        <f>'Czech Republic'!I$10+UK!I$9+Poland!I$16+Denmark!I$16</f>
        <v>0</v>
      </c>
      <c r="J29" s="91">
        <f>'Czech Republic'!J$10+UK!J$9+Poland!J$16+Denmark!J$16</f>
        <v>0</v>
      </c>
      <c r="K29" s="91">
        <f>'Czech Republic'!K$10+UK!K$9+Poland!K$16+Denmark!K$16</f>
        <v>0</v>
      </c>
      <c r="L29" s="91">
        <f>'Czech Republic'!L$10+UK!L$9+Poland!L$16</f>
        <v>0</v>
      </c>
      <c r="M29" s="91">
        <f>'Czech Republic'!M$10+UK!M$9+Poland!M$16</f>
        <v>0</v>
      </c>
      <c r="N29" s="91">
        <f>'Czech Republic'!N$10+UK!N$9+Poland!N$16</f>
        <v>0</v>
      </c>
      <c r="O29" s="91">
        <f>'Czech Republic'!O$10+UK!O$9+Poland!O$16</f>
        <v>0</v>
      </c>
      <c r="P29" s="91">
        <f>'Czech Republic'!P$10+UK!P$9+Poland!P$16</f>
        <v>0</v>
      </c>
      <c r="Q29" s="93">
        <f>'Czech Republic'!Q$10+UK!Q$9+Poland!Q$16</f>
        <v>0</v>
      </c>
    </row>
    <row r="30" spans="1:17" ht="12.75">
      <c r="A30" s="54" t="s">
        <v>126</v>
      </c>
      <c r="B30" s="61">
        <f t="shared" si="0"/>
        <v>0.015079986881034013</v>
      </c>
      <c r="C30" s="100">
        <f>E30-'[1]EU - variety'!E30</f>
        <v>-15797.899999999998</v>
      </c>
      <c r="D30" s="91">
        <f>F30-'[1]EU - variety'!F30</f>
        <v>-11223.61</v>
      </c>
      <c r="E30" s="57">
        <f>Austria!E$6+Denmark!E17+France!E$2+France!E$24+France!E$17+France!E$15+France!E$13+Switzerland!E$17+UK!E$10+Germany!E$19+Netherlands!E$6</f>
        <v>23800.55</v>
      </c>
      <c r="F30" s="91">
        <f>Austria!F$6+Denmark!F17+France!F$2+France!F$24+France!F$17+France!F$15+France!F$13+Switzerland!F$17+UK!F$10+Germany!F$19+Netherlands!F$6</f>
        <v>23446.97</v>
      </c>
      <c r="G30" s="91">
        <f>Austria!G$6+Denmark!G17+France!G$2+France!G$24+France!G$17+France!G$15+France!G$13+Switzerland!G$17+UK!G$10+Germany!G$19+Netherlands!G$6</f>
        <v>32890.0296</v>
      </c>
      <c r="H30" s="91">
        <f>Austria!H$6+Denmark!H17+France!H$2+France!H$24+France!H$17+France!H$15+France!H$13+Switzerland!H$17+UK!H$10+Germany!H$19+Netherlands!H$6</f>
        <v>3412</v>
      </c>
      <c r="I30" s="91">
        <f>Austria!I$6+Denmark!I17+France!I$2+France!I$24+France!I$17+France!I$15+France!I$13+Switzerland!I$17+UK!I$10+Germany!I$19+Netherlands!I$6</f>
        <v>24717</v>
      </c>
      <c r="J30" s="91">
        <f>Austria!J$6+Denmark!J17+France!J$2+France!J$24+France!J$17+France!J$15+France!J$13+Switzerland!J$17+UK!J$10+Germany!J$19+Netherlands!J$6</f>
        <v>21437</v>
      </c>
      <c r="K30" s="91">
        <f>Austria!K$6+Denmark!K17+France!K$2+France!K$24+France!K$17+France!K$15+France!K$13+Switzerland!K$17+UK!K$10+Germany!K$19+Netherlands!K$6</f>
        <v>23002</v>
      </c>
      <c r="L30" s="91">
        <f>Austria!L$6+Denmark!L17+France!L$2+France!L$24+France!L$17+France!L$15+France!L$13+Switzerland!L$17+UK!L$10+Germany!L$19+Netherlands!L$6</f>
        <v>12774</v>
      </c>
      <c r="M30" s="91">
        <f>Austria!M$6+Denmark!M17+France!M$2+France!M$24+France!M$17+France!M$15+France!M$13+Switzerland!M$17+UK!M$10+Germany!M$19+Netherlands!M$6</f>
        <v>4272</v>
      </c>
      <c r="N30" s="91">
        <f>Austria!N$6+Denmark!N17+France!N$2+France!N$24+France!N$17+France!N$15+France!N$13+Switzerland!N$17+UK!N$10+Germany!N$19+Netherlands!N$6</f>
        <v>6379</v>
      </c>
      <c r="O30" s="91">
        <f>Austria!O$6+Denmark!O17+France!O$2+France!O$24+France!O$17+France!O$15+France!O$13+Switzerland!O$17+UK!O$10+Germany!O$19+Netherlands!O$6</f>
        <v>3517</v>
      </c>
      <c r="P30" s="91">
        <f>Austria!P$6+Denmark!P17+France!P$2+France!P$24+France!P$17+France!P$15+France!P$13+Switzerland!P$17+UK!P$10+Germany!P$19+Netherlands!P$6</f>
        <v>5849</v>
      </c>
      <c r="Q30" s="93">
        <f>Austria!Q$6+Denmark!Q17+France!Q$2+France!Q$24+France!Q$17+France!Q$15+France!Q$13+Switzerland!Q$17+UK!Q$10+Germany!Q$19+Netherlands!Q$6</f>
        <v>699</v>
      </c>
    </row>
    <row r="31" spans="1:19" ht="13.5" thickBot="1">
      <c r="A31" s="55" t="s">
        <v>6</v>
      </c>
      <c r="B31" s="62">
        <f t="shared" si="0"/>
        <v>1.9462576500551183</v>
      </c>
      <c r="C31" s="101">
        <f>E31-'[1]EU - variety'!E31</f>
        <v>-77508.7</v>
      </c>
      <c r="D31" s="92">
        <f>F31-'[1]EU - variety'!F31</f>
        <v>-35289.1</v>
      </c>
      <c r="E31" s="58">
        <f>Austria!E$2+Austria!E$15+Austria!E$18+Austria!E$19+Austria!E$20+Belgium!E$9+'Czech Republic'!E$11+Denmark!E$3+Denmark!E$14+Denmark!E$11+Denmark!E$18+Germany!E$12+Germany!E$18+Germany!E$20+Italy!E$19+Spain!E$7+Switzerland!E$7+Switzerland!E$13+Switzerland!E$15+Switzerland!E$16+Switzerland!E$18+Netherlands!E$7+UK!E$11+France!E$3+France!E$7+France!E$22+France!E$23+France!E$25+Poland!E$10+Poland!E$17</f>
        <v>77507.2</v>
      </c>
      <c r="F31" s="92">
        <f>Austria!F$2+Austria!F$15+Austria!F$18+Austria!F$19+Austria!F$20+Belgium!F$9+'Czech Republic'!F$11+Denmark!F$3+Denmark!F$14+Denmark!F$11+Denmark!F$18+Germany!F$12+Germany!F$18+Germany!F$20+Italy!F$19+Spain!F$7+Switzerland!F$7+Switzerland!F$13+Switzerland!F$15+Switzerland!F$16+Switzerland!F$18+Netherlands!F$7+UK!F$11+France!F$3+France!F$7+France!F$22+France!F$23+France!F$25+Poland!F$10+Poland!F$17</f>
        <v>26307</v>
      </c>
      <c r="G31" s="92">
        <f>Austria!G$2+Austria!G$15+Austria!G$18+Austria!G$19+Austria!G$20+Belgium!G$9+'Czech Republic'!G$11+Denmark!G$3+Denmark!G$14+Denmark!G$11+Denmark!G$18+Germany!G$12+Germany!G$18+Germany!G$20+Italy!G$19+Spain!G$7+Switzerland!G$7+Switzerland!G$13+Switzerland!G$15+Switzerland!G$16+Switzerland!G$18+Netherlands!G$7+UK!G$11+France!G$3+France!G$7+France!G$22+France!G$23+France!G$25+Poland!G$10+Poland!G$17</f>
        <v>86071.738</v>
      </c>
      <c r="H31" s="92">
        <f>Austria!H$2+Austria!H$15+Austria!H$18+Austria!H$19+Austria!H$20+Belgium!H$9+'Czech Republic'!H$11+Denmark!H$3+Denmark!H$14+Denmark!H$11+Denmark!H$18+Germany!H$12+Germany!H$18+Germany!H$20+Italy!H$19+Spain!H$7+Switzerland!H$7+Switzerland!H$13+Switzerland!H$15+Switzerland!H$16+Switzerland!H$18+Netherlands!H$7+UK!H$11+France!H$3+France!H$7+France!H$22+France!H$23+France!H$25+Poland!H$10+Poland!H$17</f>
        <v>16955</v>
      </c>
      <c r="I31" s="92">
        <f>Austria!I$2+Austria!I$15+Austria!I$18+Austria!I$19+Austria!I$20+Belgium!I$9+'Czech Republic'!I$11+Denmark!I$3+Denmark!I$14+Denmark!I$11+Denmark!I$18+Germany!I$12+Germany!I$18+Germany!I$20+Italy!I$19+Spain!I$7+Switzerland!I$7+Switzerland!I$13+Switzerland!I$15+Switzerland!I$16+Switzerland!I$18+Netherlands!I$7+UK!I$11+France!I$3+France!I$7+France!I$22+France!I$23+France!I$25+Poland!I$10+Poland!I$17</f>
        <v>49476</v>
      </c>
      <c r="J31" s="92">
        <f>Austria!J$2+Austria!J$15+Austria!J$18+Austria!J$19+Austria!J$20+Belgium!J$9+'Czech Republic'!J$11+Denmark!J$3+Denmark!J$14+Denmark!J$11+Denmark!J$18+Germany!J$12+Germany!J$18+Germany!J$20+Italy!J$19+Spain!J$7+Switzerland!J$7+Switzerland!J$13+Switzerland!J$15+Switzerland!J$16+Switzerland!J$18+Netherlands!J$7+UK!J$11+France!J$3+France!J$7+France!J$22+France!J$23+France!J$25+Poland!J$10+Poland!J$17</f>
        <v>54726</v>
      </c>
      <c r="K31" s="92">
        <f>Austria!K$2+Austria!K$15+Austria!K$18+Austria!K$19+Austria!K$20+Belgium!K$9+'Czech Republic'!K$11+Denmark!K$3+Denmark!K$14+Denmark!K$11+Denmark!K$18+Germany!K$12+Germany!K$18+Germany!K$20+Italy!K$19+Spain!K$7+Switzerland!K$7+Switzerland!K$13+Switzerland!K$15+Switzerland!K$16+Switzerland!K$18+Netherlands!K$7+UK!K$11+France!K$3+France!K$7+France!K$22+France!K$23+France!K$25+Poland!K$10+Poland!K$17</f>
        <v>32265.3</v>
      </c>
      <c r="L31" s="92">
        <f>Austria!L$2+Austria!L$15+Austria!L$18+Austria!L$19+Austria!L$20+Belgium!L$9+'Czech Republic'!L$11+Denmark!L$3+Denmark!L$14+Denmark!L$11+Denmark!L$18+Germany!L$12+Germany!L$18+Germany!L$20+Italy!L$19+Spain!L$7+Switzerland!L$7+Switzerland!L$13+Switzerland!L$15+Switzerland!L$16+Switzerland!L$18+Netherlands!L$7+UK!L$11+France!L$3+France!L$7+France!L$22+France!L$23+France!L$25+Poland!L$10+Poland!L$17</f>
        <v>55190</v>
      </c>
      <c r="M31" s="92">
        <f>Austria!M$2+Austria!M$15+Austria!M$18+Austria!M$19+Austria!M$20+Belgium!M$9+'Czech Republic'!M$11+Denmark!M$3+Denmark!M$14+Denmark!M$11+Denmark!M$18+Germany!M$12+Germany!M$18+Germany!M$20+Italy!M$19+Spain!M$7+Switzerland!M$7+Switzerland!M$13+Switzerland!M$15+Switzerland!M$16+Switzerland!M$18+Netherlands!M$7+UK!M$11+France!M$3+France!M$7+France!M$22+France!M$23+France!M$25+Poland!M$10+Poland!M$17</f>
        <v>18840</v>
      </c>
      <c r="N31" s="92">
        <f>Austria!N$2+Austria!N$15+Austria!N$18+Austria!N$19+Austria!N$20+Belgium!N$9+'Czech Republic'!N$11+Denmark!N$3+Denmark!N$14+Denmark!N$11+Denmark!N$18+Germany!N$12+Germany!N$18+Germany!N$20+Italy!N$19+Spain!N$7+Switzerland!N$7+Switzerland!N$13+Switzerland!N$15+Switzerland!N$16+Switzerland!N$18+Netherlands!N$7+UK!N$11+France!N$3+France!N$7+France!N$22+France!N$23+France!N$25+Poland!N$10+Poland!N$17</f>
        <v>31799.029842091637</v>
      </c>
      <c r="O31" s="92">
        <f>Austria!O$2+Austria!O$15+Austria!O$18+Austria!O$19+Austria!O$20+Belgium!O$9+'Czech Republic'!O$11+Denmark!O$3+Denmark!O$14+Denmark!O$11+Denmark!O$18+Germany!O$12+Germany!O$18+Germany!O$20+Italy!O$19+Spain!O$7+Switzerland!O$7+Switzerland!O$13+Switzerland!O$15+Switzerland!O$16+Switzerland!O$18+Netherlands!O$7+UK!O$11+France!O$3+France!O$7+France!O$22+France!O$23+France!O$25+Poland!O$10+Poland!O$17</f>
        <v>33516.32340118216</v>
      </c>
      <c r="P31" s="92">
        <f>Austria!P$2+Austria!P$15+Austria!P$18+Austria!P$19+Austria!P$20+Belgium!P$9+'Czech Republic'!P$11+Denmark!P$3+Denmark!P$14+Denmark!P$11+Denmark!P$18+Germany!P$12+Germany!P$18+Germany!P$20+Italy!P$19+Spain!P$7+Switzerland!P$7+Switzerland!P$13+Switzerland!P$15+Switzerland!P$16+Switzerland!P$18+Netherlands!P$7+UK!P$11+France!P$3+France!P$7+France!P$22+France!P$23+France!P$25+Poland!P$10+Poland!P$17</f>
        <v>30695</v>
      </c>
      <c r="Q31" s="94">
        <f>Austria!Q$2+Austria!Q$15+Austria!Q$18+Austria!Q$19+Austria!Q$20+Belgium!Q$9+'Czech Republic'!Q$11+Denmark!Q$3+Denmark!Q$14+Denmark!Q$11+Denmark!Q$18+Germany!Q$12+Germany!Q$18+Germany!Q$20+Italy!Q$19+Spain!Q$7+Switzerland!Q$7+Switzerland!Q$13+Switzerland!Q$15+Switzerland!Q$16+Switzerland!Q$18+Netherlands!Q$7+UK!Q$11+France!Q$3+France!Q$7+France!Q$22+France!Q$23+France!Q$25+Poland!Q$10+Poland!Q$17</f>
        <v>21857</v>
      </c>
      <c r="S31" s="3"/>
    </row>
    <row r="32" spans="1:17" ht="13.5" thickBot="1">
      <c r="A32" s="56" t="s">
        <v>94</v>
      </c>
      <c r="B32" s="107">
        <f t="shared" si="0"/>
        <v>0.19960819262398138</v>
      </c>
      <c r="C32" s="117">
        <f>E32-'[1]EU - variety'!E32</f>
        <v>-525162.7405543358</v>
      </c>
      <c r="D32" s="42">
        <f>F32-'[1]EU - variety'!F32</f>
        <v>-468238.7343693642</v>
      </c>
      <c r="E32" s="135">
        <f aca="true" t="shared" si="1" ref="E32:J32">SUM(E2:E31)</f>
        <v>788142.7164988862</v>
      </c>
      <c r="F32" s="42">
        <f t="shared" si="1"/>
        <v>657000.1116572322</v>
      </c>
      <c r="G32" s="42">
        <f t="shared" si="1"/>
        <v>985229.6174</v>
      </c>
      <c r="H32" s="42">
        <f t="shared" si="1"/>
        <v>342561.4</v>
      </c>
      <c r="I32" s="122">
        <f t="shared" si="1"/>
        <v>785897</v>
      </c>
      <c r="J32" s="122">
        <f t="shared" si="1"/>
        <v>798024</v>
      </c>
      <c r="K32" s="122">
        <f aca="true" t="shared" si="2" ref="K32:P32">SUM(K2:K31)</f>
        <v>747455.3744228474</v>
      </c>
      <c r="L32" s="122">
        <f t="shared" si="2"/>
        <v>749011.802363939</v>
      </c>
      <c r="M32" s="122">
        <f t="shared" si="2"/>
        <v>389690.8087815536</v>
      </c>
      <c r="N32" s="122">
        <f t="shared" si="2"/>
        <v>578224.9999999999</v>
      </c>
      <c r="O32" s="122">
        <f t="shared" si="2"/>
        <v>486505.4308298802</v>
      </c>
      <c r="P32" s="122">
        <f t="shared" si="2"/>
        <v>566472.96</v>
      </c>
      <c r="Q32" s="127">
        <f>SUM(Q2:Q31)</f>
        <v>569929.3999999999</v>
      </c>
    </row>
    <row r="33" ht="12.75">
      <c r="A33" s="69" t="s">
        <v>152</v>
      </c>
    </row>
    <row r="34" spans="2:17" ht="13.5" thickBot="1">
      <c r="B34" s="3"/>
      <c r="C34" s="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s="69" customFormat="1" ht="13.5" thickBot="1">
      <c r="A35" s="68" t="s">
        <v>93</v>
      </c>
      <c r="B35" s="32" t="s">
        <v>173</v>
      </c>
      <c r="C35" s="63" t="s">
        <v>172</v>
      </c>
      <c r="D35" s="109" t="s">
        <v>171</v>
      </c>
      <c r="E35" s="148">
        <v>44348</v>
      </c>
      <c r="F35" s="161">
        <v>43983</v>
      </c>
      <c r="G35" s="161">
        <v>43617</v>
      </c>
      <c r="H35" s="161">
        <v>43252</v>
      </c>
      <c r="I35" s="33">
        <v>42887</v>
      </c>
      <c r="J35" s="33">
        <v>42156</v>
      </c>
      <c r="K35" s="33">
        <v>41791</v>
      </c>
      <c r="L35" s="33">
        <v>41426</v>
      </c>
      <c r="M35" s="33">
        <v>41061</v>
      </c>
      <c r="N35" s="33">
        <v>40695</v>
      </c>
      <c r="O35" s="33">
        <v>40330</v>
      </c>
      <c r="P35" s="33">
        <v>39965</v>
      </c>
      <c r="Q35" s="50">
        <v>39965</v>
      </c>
    </row>
    <row r="36" spans="1:17" s="69" customFormat="1" ht="12.75">
      <c r="A36" s="128" t="s">
        <v>105</v>
      </c>
      <c r="B36" s="129"/>
      <c r="C36" s="100">
        <f>E36-'[1]EU - variety'!E36</f>
        <v>-7280.477444213855</v>
      </c>
      <c r="D36" s="130">
        <f>F36-'[1]EU - variety'!F36</f>
        <v>0</v>
      </c>
      <c r="E36" s="162">
        <f>Italy!E$24</f>
        <v>17.26762347198182</v>
      </c>
      <c r="F36" s="130">
        <f>Italy!F$24</f>
        <v>0</v>
      </c>
      <c r="G36" s="130">
        <f>Italy!G$24</f>
        <v>0</v>
      </c>
      <c r="H36" s="96">
        <f>Italy!H$24</f>
        <v>1652.84268799742</v>
      </c>
      <c r="I36" s="91">
        <f>Italy!I$24</f>
        <v>0</v>
      </c>
      <c r="J36" s="130">
        <f>Italy!J$24</f>
        <v>54.162592707646056</v>
      </c>
      <c r="K36" s="130">
        <f>Italy!K$24</f>
        <v>0</v>
      </c>
      <c r="L36" s="130">
        <f>Italy!L$24</f>
        <v>0</v>
      </c>
      <c r="M36" s="130">
        <f>Italy!M$24</f>
        <v>0</v>
      </c>
      <c r="N36" s="130">
        <f>Italy!N$24</f>
        <v>0</v>
      </c>
      <c r="O36" s="130">
        <f>Italy!O$24</f>
        <v>0</v>
      </c>
      <c r="P36" s="130">
        <f>Italy!P$24</f>
        <v>0</v>
      </c>
      <c r="Q36" s="131">
        <f>Italy!Q$24</f>
        <v>0</v>
      </c>
    </row>
    <row r="37" spans="1:17" s="69" customFormat="1" ht="12.75">
      <c r="A37" s="70" t="s">
        <v>39</v>
      </c>
      <c r="B37" s="71">
        <f aca="true" t="shared" si="3" ref="B37:B44">(E37-F37)/F37</f>
        <v>-0.04666666666666667</v>
      </c>
      <c r="C37" s="100">
        <f>E37-'[1]EU - variety'!E37</f>
        <v>-426.4315999673703</v>
      </c>
      <c r="D37" s="96">
        <f>F37-'[1]EU - variety'!F37</f>
        <v>-231.58372637194446</v>
      </c>
      <c r="E37" s="72">
        <f>Spain!E$12</f>
        <v>143</v>
      </c>
      <c r="F37" s="96">
        <f>Spain!F$12</f>
        <v>150</v>
      </c>
      <c r="G37" s="96">
        <f>Spain!G$12</f>
        <v>29</v>
      </c>
      <c r="H37" s="96">
        <f>Spain!H$12</f>
        <v>104</v>
      </c>
      <c r="I37" s="91">
        <f>Spain!I$12</f>
        <v>216</v>
      </c>
      <c r="J37" s="96">
        <f>Spain!J$12</f>
        <v>16</v>
      </c>
      <c r="K37" s="96">
        <f>Spain!K$12</f>
        <v>2.232572705623324</v>
      </c>
      <c r="L37" s="96">
        <f>Spain!L$12</f>
        <v>230.7729840757613</v>
      </c>
      <c r="M37" s="96">
        <f>Spain!M$12</f>
        <v>0</v>
      </c>
      <c r="N37" s="96">
        <f>Spain!N$12</f>
        <v>690</v>
      </c>
      <c r="O37" s="96">
        <f>Spain!O$12</f>
        <v>73.14487868118259</v>
      </c>
      <c r="P37" s="96">
        <f>Spain!P$12</f>
        <v>137</v>
      </c>
      <c r="Q37" s="98">
        <f>Spain!Q$12</f>
        <v>4</v>
      </c>
    </row>
    <row r="38" spans="1:17" s="67" customFormat="1" ht="12.75">
      <c r="A38" s="70" t="s">
        <v>40</v>
      </c>
      <c r="B38" s="71">
        <f t="shared" si="3"/>
        <v>7.014084507042254</v>
      </c>
      <c r="C38" s="100">
        <f>E38-'[1]EU - variety'!E38</f>
        <v>-809.2395653683398</v>
      </c>
      <c r="D38" s="96">
        <f>F38-'[1]EU - variety'!F38</f>
        <v>-64.62027529308193</v>
      </c>
      <c r="E38" s="72">
        <f>Spain!E$13</f>
        <v>569</v>
      </c>
      <c r="F38" s="96">
        <f>Spain!F$13</f>
        <v>71</v>
      </c>
      <c r="G38" s="96">
        <f>Spain!G$13</f>
        <v>66</v>
      </c>
      <c r="H38" s="96">
        <f>Spain!H$13</f>
        <v>105</v>
      </c>
      <c r="I38" s="91">
        <f>Spain!I$13</f>
        <v>0</v>
      </c>
      <c r="J38" s="96">
        <f>Spain!J$13</f>
        <v>71</v>
      </c>
      <c r="K38" s="96">
        <f>Spain!K$13</f>
        <v>28.186230408494467</v>
      </c>
      <c r="L38" s="96">
        <f>Spain!L$13</f>
        <v>303.7168409763121</v>
      </c>
      <c r="M38" s="96">
        <f>Spain!M$13</f>
        <v>5.526777881565384</v>
      </c>
      <c r="N38" s="96">
        <f>Spain!N$13</f>
        <v>188</v>
      </c>
      <c r="O38" s="96">
        <f>Spain!O$13</f>
        <v>405.40028112233256</v>
      </c>
      <c r="P38" s="96">
        <f>Spain!P$13</f>
        <v>534</v>
      </c>
      <c r="Q38" s="98">
        <f>Spain!Q$13</f>
        <v>0</v>
      </c>
    </row>
    <row r="39" spans="1:17" s="67" customFormat="1" ht="12.75">
      <c r="A39" s="70" t="s">
        <v>7</v>
      </c>
      <c r="B39" s="71">
        <f t="shared" si="3"/>
        <v>0.4814417917121157</v>
      </c>
      <c r="C39" s="100">
        <f>E39-'[1]EU - variety'!E39</f>
        <v>-70873.79707741065</v>
      </c>
      <c r="D39" s="96">
        <f>F39-'[1]EU - variety'!F39</f>
        <v>-47997.88530142684</v>
      </c>
      <c r="E39" s="72">
        <f>Belgium!E$15+Denmark!E$23+Italy!E$25+Poland!E$22+Spain!E$14+Switzerland!E$24+Netherlands!E$12+UK!E$16+'Czech Republic'!E$16+France!E$32</f>
        <v>59789.50927170928</v>
      </c>
      <c r="F39" s="96">
        <f>Belgium!F$15+Denmark!F$23+Italy!F$25+Poland!F$22+Spain!F$14+Switzerland!F$24+Netherlands!F$12+UK!F$16+'Czech Republic'!F$16+France!F$32</f>
        <v>40359</v>
      </c>
      <c r="G39" s="96">
        <f>Belgium!G$15+Denmark!G$23+Italy!G$25+Poland!G$22+Spain!G$14+Switzerland!G$24+Netherlands!G$12+UK!G$16+'Czech Republic'!G$16+France!G$32</f>
        <v>59523.6952</v>
      </c>
      <c r="H39" s="96">
        <f>Belgium!H$15+Denmark!H$23+Italy!H$25+Poland!H$22+Spain!H$14+Switzerland!H$24+Netherlands!H$12+UK!H$16+'Czech Republic'!H$16+France!H$32</f>
        <v>47481.7809362306</v>
      </c>
      <c r="I39" s="91">
        <f>Belgium!I$15+Denmark!I$23+Italy!I$25+Poland!I$22+Spain!I$14+Switzerland!I$24+Netherlands!I$12+UK!I$16+'Czech Republic'!I$16+France!I$32</f>
        <v>46413</v>
      </c>
      <c r="J39" s="96">
        <f>Belgium!J$15+Denmark!J$23+Italy!J$25+Poland!J$22+Spain!J$14+Switzerland!J$24+Netherlands!J$12+UK!J$16+'Czech Republic'!J$16+France!J$32</f>
        <v>65783.71150464634</v>
      </c>
      <c r="K39" s="96">
        <f>Belgium!K$15+Denmark!K$23+Italy!K$25+Poland!K$22+Spain!K$14+Switzerland!K$24+Netherlands!K$12+UK!K$16+'Czech Republic'!K$16+France!K$32</f>
        <v>45624.02112673552</v>
      </c>
      <c r="L39" s="96">
        <f>Belgium!L$15+Denmark!L$23+Italy!L$25+Poland!L$22+Spain!L$14+Switzerland!L$24+Netherlands!L$12+UK!L$16+'Czech Republic'!L$16+France!L$32</f>
        <v>35700.87916294942</v>
      </c>
      <c r="M39" s="96">
        <f>Belgium!M$15+Denmark!M$23+Italy!M$25+Poland!M$22+Spain!M$14+Switzerland!M$24+Netherlands!M$12+UK!M$16+'Czech Republic'!M$16+France!M$32</f>
        <v>15996.834794453656</v>
      </c>
      <c r="N39" s="96">
        <f>Belgium!N$15+Denmark!N$23+Italy!N$25+Poland!N$22+Spain!N$14+Switzerland!N$24+Netherlands!N$12+UK!N$16+'Czech Republic'!N$16+France!N$32</f>
        <v>41577</v>
      </c>
      <c r="O39" s="96">
        <f>Belgium!O$15+Denmark!O$23+Italy!O$25+Poland!O$22+Spain!O$14+Switzerland!O$24+Netherlands!O$12+UK!O$16+'Czech Republic'!O$16+France!O$33</f>
        <v>41231</v>
      </c>
      <c r="P39" s="96">
        <f>Belgium!P$15+Denmark!P$23+Italy!P$25+Poland!P$22+Spain!P$14+Switzerland!P$24+Netherlands!P$12+UK!P$16+'Czech Republic'!P$16</f>
        <v>36952</v>
      </c>
      <c r="Q39" s="98">
        <f>Belgium!Q$15+Denmark!Q$23+Italy!Q$25+Poland!Q$22+Spain!Q$14+Switzerland!Q$24+Netherlands!Q$12+UK!Q$16+'Czech Republic'!Q$16</f>
        <v>18999</v>
      </c>
    </row>
    <row r="40" spans="1:17" s="67" customFormat="1" ht="12.75">
      <c r="A40" s="70" t="s">
        <v>95</v>
      </c>
      <c r="B40" s="71">
        <f t="shared" si="3"/>
        <v>0</v>
      </c>
      <c r="C40" s="100">
        <f>E40-'[1]EU - variety'!E40</f>
        <v>-132</v>
      </c>
      <c r="D40" s="96">
        <f>F40-'[1]EU - variety'!F40</f>
        <v>-18</v>
      </c>
      <c r="E40" s="72">
        <f>Belgium!E$16+Italy!E$26+Poland!E$23+Netherlands!E$13+UK!E$17+France!E$33+Denmark!E$24</f>
        <v>4</v>
      </c>
      <c r="F40" s="96">
        <f>Belgium!F$16+Italy!F$26+Poland!F$23+Netherlands!F$13+UK!F$17+France!F$33+Denmark!F$24</f>
        <v>4</v>
      </c>
      <c r="G40" s="96">
        <f>Belgium!G$16+Italy!G$26+Poland!G$23+Netherlands!G$13+UK!G$17+France!G$33+Denmark!G$24</f>
        <v>12</v>
      </c>
      <c r="H40" s="96">
        <f>Belgium!H$16+Italy!H$26+Poland!H$23+Netherlands!H$13+UK!H$17+France!H$33+Denmark!H$24</f>
        <v>76</v>
      </c>
      <c r="I40" s="91">
        <f>Belgium!I$16+Italy!I$26+Poland!I$23+Netherlands!I$13+UK!I$17+France!I$33+Denmark!I$24</f>
        <v>0</v>
      </c>
      <c r="J40" s="96">
        <f>Belgium!J$16+Italy!J$26+Poland!J$23+Netherlands!J$13+UK!J$17+France!J$33+Denmark!J$24</f>
        <v>58</v>
      </c>
      <c r="K40" s="96">
        <f>Belgium!K$16+Italy!K$26+Poland!K$23+Netherlands!K$13+UK!K$17+France!K$33+Denmark!K$24</f>
        <v>3</v>
      </c>
      <c r="L40" s="96">
        <f>Belgium!L$16+Italy!L$26+Poland!L$23+Netherlands!L$13+UK!L$17+France!L$33+Denmark!L$24</f>
        <v>3</v>
      </c>
      <c r="M40" s="96">
        <f>Belgium!M$16+Italy!M$26+Poland!M$23+Netherlands!M$13+UK!M$17+France!M$33+Denmark!M$24</f>
        <v>0</v>
      </c>
      <c r="N40" s="96">
        <f>Belgium!N$16+Italy!N$26+Poland!N$23+Netherlands!N$13+UK!N$17+France!N$33+Denmark!N$24</f>
        <v>0</v>
      </c>
      <c r="O40" s="96">
        <f>Belgium!O$16+Italy!O$26+Poland!O$23+Netherlands!O$13+UK!O$17+France!O$34</f>
        <v>0</v>
      </c>
      <c r="P40" s="96">
        <f>Belgium!P$16+Italy!P$26+Poland!P$23+Netherlands!P$13+UK!P$17</f>
        <v>0</v>
      </c>
      <c r="Q40" s="98">
        <f>Belgium!Q$16+Italy!Q$26+Poland!Q$23+Netherlands!Q$13+UK!Q$17</f>
        <v>0</v>
      </c>
    </row>
    <row r="41" spans="1:17" s="67" customFormat="1" ht="12.75">
      <c r="A41" s="70" t="s">
        <v>30</v>
      </c>
      <c r="B41" s="71"/>
      <c r="C41" s="100">
        <f>E41-'[1]EU - variety'!E41</f>
        <v>-3224.9750682694016</v>
      </c>
      <c r="D41" s="96">
        <f>F41-'[1]EU - variety'!F41</f>
        <v>0</v>
      </c>
      <c r="E41" s="72">
        <f>Italy!E$27</f>
        <v>144.93385136209295</v>
      </c>
      <c r="F41" s="96">
        <f>Italy!F$27</f>
        <v>0</v>
      </c>
      <c r="G41" s="96">
        <f>Italy!G$27</f>
        <v>0</v>
      </c>
      <c r="H41" s="96">
        <f>Italy!H$27</f>
        <v>873.4197888161268</v>
      </c>
      <c r="I41" s="91">
        <f>Italy!I$27</f>
        <v>0</v>
      </c>
      <c r="J41" s="96">
        <f>Italy!J$27</f>
        <v>4.25</v>
      </c>
      <c r="K41" s="96">
        <f>Italy!K$27</f>
        <v>0</v>
      </c>
      <c r="L41" s="96">
        <f>Italy!L$27</f>
        <v>610</v>
      </c>
      <c r="M41" s="96">
        <f>Italy!M$27</f>
        <v>0</v>
      </c>
      <c r="N41" s="96">
        <f>Italy!N$27</f>
        <v>0</v>
      </c>
      <c r="O41" s="96">
        <f>Italy!O$27</f>
        <v>0</v>
      </c>
      <c r="P41" s="96">
        <f>Italy!P$27</f>
        <v>0</v>
      </c>
      <c r="Q41" s="98">
        <f>Italy!Q$27</f>
        <v>0</v>
      </c>
    </row>
    <row r="42" spans="1:17" s="67" customFormat="1" ht="12.75">
      <c r="A42" s="70" t="s">
        <v>150</v>
      </c>
      <c r="B42" s="71"/>
      <c r="C42" s="100">
        <f>E42-'[1]EU - variety'!E42</f>
        <v>0</v>
      </c>
      <c r="D42" s="96">
        <f>F42-'[1]EU - variety'!F42</f>
        <v>-12058</v>
      </c>
      <c r="E42" s="72">
        <f>Portugal!E$14</f>
        <v>0</v>
      </c>
      <c r="F42" s="96">
        <f>Portugal!F$14</f>
        <v>0</v>
      </c>
      <c r="G42" s="96">
        <f>Portugal!G$14</f>
        <v>4925</v>
      </c>
      <c r="H42" s="96"/>
      <c r="I42" s="91"/>
      <c r="J42" s="96"/>
      <c r="K42" s="96"/>
      <c r="L42" s="96"/>
      <c r="M42" s="96"/>
      <c r="N42" s="96"/>
      <c r="O42" s="96">
        <f>Portugal!P$13</f>
        <v>0</v>
      </c>
      <c r="P42" s="96">
        <f>Portugal!Q$13</f>
        <v>0</v>
      </c>
      <c r="Q42" s="98">
        <f>Portugal!R$13</f>
        <v>0</v>
      </c>
    </row>
    <row r="43" spans="1:17" s="67" customFormat="1" ht="13.5" thickBot="1">
      <c r="A43" s="74" t="s">
        <v>6</v>
      </c>
      <c r="B43" s="75">
        <f t="shared" si="3"/>
        <v>0.12535612535612536</v>
      </c>
      <c r="C43" s="101">
        <f>E43-'[1]EU - variety'!E43</f>
        <v>-3374.229129389707</v>
      </c>
      <c r="D43" s="97">
        <f>F43-'[1]EU - variety'!F43</f>
        <v>-2178.571691217672</v>
      </c>
      <c r="E43" s="76">
        <f>Belgium!E$18+Belgium!E$17+Denmark!E$25+Germany!E$25+Italy!E$28+Poland!E$24+Spain!E$15+Spain!E$16+Switzerland!E$23+Switzerland!E$25+Switzerland!E$26+Netherlands!E$14+UK!E$18+'Czech Republic'!E$17+'Czech Republic'!E$18+'Czech Republic'!E$19+'Czech Republic'!E$20+France!E$31+France!E$35+France!E$36+France!E$37+France!E$30</f>
        <v>790</v>
      </c>
      <c r="F43" s="97">
        <f>Belgium!F$18+Belgium!F$17+Denmark!F$25+Germany!F$25+Italy!F$28+Poland!F$24+Spain!F$15+Spain!F$16+Switzerland!F$23+Switzerland!F$25+Switzerland!F$26+Netherlands!F$14+UK!F$18+'Czech Republic'!F$17+'Czech Republic'!F$18+'Czech Republic'!F$19+'Czech Republic'!F$20+France!F$31+France!F$35+France!F$36+France!F$37+France!F$30</f>
        <v>702</v>
      </c>
      <c r="G43" s="97">
        <f>Belgium!G$18+Belgium!G$17+Denmark!G$25+Germany!G$25+Italy!G$28+Poland!G$24+Spain!G$15+Spain!G$16+Switzerland!G$23+Switzerland!G$25+Switzerland!G$26+Netherlands!G$14+UK!G$18+'Czech Republic'!G$17+'Czech Republic'!G$18+'Czech Republic'!G$19+'Czech Republic'!G$20+France!G$31+France!G$35+France!G$36+France!G$37+France!G$30</f>
        <v>971.3</v>
      </c>
      <c r="H43" s="97">
        <f>Belgium!H$18+Belgium!H$17+Denmark!H$25+Germany!H$25+Italy!H$28+Poland!H$24+Spain!H$15+Spain!H$16+Switzerland!H$23+Switzerland!H$25+Switzerland!H$26+Netherlands!H$14+UK!H$18+'Czech Republic'!H$17+'Czech Republic'!H$18+'Czech Republic'!H$19+'Czech Republic'!H$20+France!H$31+France!H$35+France!H$36+France!H$37+France!H$30</f>
        <v>302</v>
      </c>
      <c r="I43" s="91">
        <f>Belgium!I$18+Belgium!I$17+Denmark!I$25+Germany!I$25+Italy!I$28+Poland!I$24+Spain!I$15+Spain!I$16+Switzerland!I$23+Switzerland!I$25+Switzerland!I$26+Netherlands!I$14+UK!I$18+'Czech Republic'!I$17+'Czech Republic'!I$18+'Czech Republic'!I$19+'Czech Republic'!I$20+France!I$31+France!I$35+France!I$36+France!I$37+France!I$30</f>
        <v>254</v>
      </c>
      <c r="J43" s="97">
        <f>Belgium!J$18+Belgium!J$17+Denmark!J$25+Germany!J$25+Italy!J$28+Poland!J$24+Spain!J$15+Spain!J$16+Switzerland!J$23+Switzerland!J$25+Switzerland!J$26+Netherlands!J$14+UK!J$18+'Czech Republic'!J$17+'Czech Republic'!J$18+'Czech Republic'!J$19+'Czech Republic'!J$20+France!J$31+France!J$35+France!J$36+France!J$37+France!J$30</f>
        <v>125</v>
      </c>
      <c r="K43" s="97">
        <f>Belgium!K$18+Belgium!K$17+Denmark!K$25+Germany!K$25+Italy!K$28+Poland!K$24+Spain!K$15+Spain!K$16+Switzerland!K$23+Switzerland!K$25+Switzerland!K$26+Netherlands!K$14+UK!K$18+'Czech Republic'!K$17+'Czech Republic'!K$18+'Czech Republic'!K$19+'Czech Republic'!K$20+France!K$31+France!K$35+France!K$36+France!K$37+France!K$30</f>
        <v>288</v>
      </c>
      <c r="L43" s="97">
        <f>Belgium!L$18+Belgium!L$17+Denmark!L$25+Germany!L$25+Italy!L$28+Poland!L$24+Spain!L$15+Spain!L$16+Switzerland!L$23+Switzerland!L$25+Switzerland!L$26+Netherlands!L$14+UK!L$18+'Czech Republic'!L$17+'Czech Republic'!L$18+'Czech Republic'!L$19+'Czech Republic'!L$20+France!L$31+France!L$35+France!L$36+France!L$37+France!L$30</f>
        <v>1165.9351748211484</v>
      </c>
      <c r="M43" s="97">
        <f>Belgium!M$18+Belgium!M$17+Denmark!M$25+Germany!M$25+Italy!M$28+Poland!M$24+Spain!M$15+Spain!M$16+Switzerland!M$23+Switzerland!M$25+Switzerland!M$26+Netherlands!M$14+UK!M$18+'Czech Republic'!M$17+'Czech Republic'!M$18+'Czech Republic'!M$19+'Czech Republic'!M$20+France!M$31+France!M$35+France!M$36+France!M$37+France!M$30</f>
        <v>921</v>
      </c>
      <c r="N43" s="97">
        <f>Belgium!N$18+Belgium!N$17+Denmark!N$25+Germany!N$25+Italy!N$28+Poland!N$24+Spain!N$15+Spain!N$16+Switzerland!N$23+Switzerland!N$25+Switzerland!N$26+Netherlands!N$14+UK!N$18+'Czech Republic'!N$17+'Czech Republic'!N$18+'Czech Republic'!N$19+'Czech Republic'!N$20+France!N$31+France!N$35+France!N$36+France!N$37+France!N$30</f>
        <v>560</v>
      </c>
      <c r="O43" s="97">
        <f>Belgium!O$18+Belgium!O$17+Denmark!O$25+Germany!O$25+Italy!O$28+Poland!O$24+Spain!O$15+Spain!O$16+Switzerland!O$23+Switzerland!O$25+Switzerland!O$26+Switzerland!O$27+Netherlands!O$14+UK!O$18+'Czech Republic'!O$17+'Czech Republic'!O$18+'Czech Republic'!O$19+'Czech Republic'!O$20+France!O$31+France!O$35+France!O$36+France!O$37+France!O$30</f>
        <v>261</v>
      </c>
      <c r="P43" s="97">
        <f>Belgium!P$18+Denmark!P$25+Germany!P$25+Italy!P$28+Poland!P$24+Spain!P$15+Spain!P$16+Switzerland!P$23+Switzerland!P$25+Switzerland!P$26+Netherlands!P$14+UK!P$18+'Czech Republic'!P$17+'Czech Republic'!P$20</f>
        <v>209</v>
      </c>
      <c r="Q43" s="99">
        <f>Belgium!Q$18+Denmark!Q$25+Germany!Q$25+Italy!Q$28+Poland!Q$24+Spain!Q$15+Spain!Q$16+Switzerland!Q$23+Switzerland!Q$25+Switzerland!Q$26+Netherlands!Q$14+UK!Q$18+'Czech Republic'!Q$17+'Czech Republic'!Q$20</f>
        <v>93</v>
      </c>
    </row>
    <row r="44" spans="1:17" s="67" customFormat="1" ht="13.5" thickBot="1">
      <c r="A44" s="78" t="s">
        <v>94</v>
      </c>
      <c r="B44" s="125">
        <f t="shared" si="3"/>
        <v>0.48858476836078457</v>
      </c>
      <c r="C44" s="117">
        <f>E44-'[1]EU - variety'!E44</f>
        <v>-86121.14988461933</v>
      </c>
      <c r="D44" s="136">
        <f>F44-'[1]EU - variety'!F44</f>
        <v>-62548.66099430954</v>
      </c>
      <c r="E44" s="151">
        <f aca="true" t="shared" si="4" ref="E44:J44">SUM(E36:E43)</f>
        <v>61457.71074654335</v>
      </c>
      <c r="F44" s="136">
        <f t="shared" si="4"/>
        <v>41286</v>
      </c>
      <c r="G44" s="136">
        <f t="shared" si="4"/>
        <v>65526.995200000005</v>
      </c>
      <c r="H44" s="136">
        <f t="shared" si="4"/>
        <v>50595.04341304415</v>
      </c>
      <c r="I44" s="114">
        <f t="shared" si="4"/>
        <v>46883</v>
      </c>
      <c r="J44" s="114">
        <f t="shared" si="4"/>
        <v>66112.124097354</v>
      </c>
      <c r="K44" s="114">
        <f aca="true" t="shared" si="5" ref="K44:P44">SUM(K36:K43)</f>
        <v>45945.439929849636</v>
      </c>
      <c r="L44" s="114">
        <f t="shared" si="5"/>
        <v>38014.30416282264</v>
      </c>
      <c r="M44" s="114">
        <f t="shared" si="5"/>
        <v>16923.36157233522</v>
      </c>
      <c r="N44" s="114">
        <f t="shared" si="5"/>
        <v>43015</v>
      </c>
      <c r="O44" s="114">
        <f t="shared" si="5"/>
        <v>41970.545159803514</v>
      </c>
      <c r="P44" s="114">
        <f t="shared" si="5"/>
        <v>37832</v>
      </c>
      <c r="Q44" s="132">
        <f>SUM(Q36:Q43)</f>
        <v>19096</v>
      </c>
    </row>
    <row r="45" spans="1:17" s="67" customFormat="1" ht="12.75">
      <c r="A45" s="105" t="s">
        <v>166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s="67" customFormat="1" ht="12.75">
      <c r="A46" s="69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4:17" s="67" customFormat="1" ht="12.75"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8.7109375" style="0" customWidth="1"/>
    <col min="2" max="2" width="10.7109375" style="0" customWidth="1"/>
    <col min="3" max="3" width="11.421875" style="0" bestFit="1" customWidth="1"/>
    <col min="4" max="7" width="12.00390625" style="9" customWidth="1"/>
    <col min="8" max="8" width="12.28125" style="9" customWidth="1"/>
    <col min="9" max="9" width="10.140625" style="9" bestFit="1" customWidth="1"/>
    <col min="10" max="16" width="10.140625" style="12" bestFit="1" customWidth="1"/>
    <col min="17" max="19" width="10.140625" style="0" bestFit="1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27" t="s">
        <v>96</v>
      </c>
      <c r="B2" s="35">
        <f>(E2-F2)/F2</f>
        <v>1.7029702970297034</v>
      </c>
      <c r="C2" s="64">
        <f>E2-'[1]Austria'!E2</f>
        <v>-139.05</v>
      </c>
      <c r="D2" s="13">
        <f>F2-'[1]Austria'!F2</f>
        <v>-83.31</v>
      </c>
      <c r="E2" s="149">
        <v>13.65</v>
      </c>
      <c r="F2" s="13">
        <v>5.05</v>
      </c>
      <c r="G2" s="13">
        <v>329</v>
      </c>
      <c r="H2" s="13">
        <v>0</v>
      </c>
      <c r="I2" s="13">
        <v>0</v>
      </c>
      <c r="J2" s="13">
        <v>419</v>
      </c>
      <c r="K2" s="13">
        <v>324</v>
      </c>
      <c r="L2" s="13">
        <v>797</v>
      </c>
      <c r="M2" s="13">
        <v>210</v>
      </c>
      <c r="N2" s="13">
        <v>789</v>
      </c>
      <c r="O2" s="13">
        <v>898</v>
      </c>
      <c r="P2" s="13">
        <v>1149</v>
      </c>
      <c r="Q2" s="13">
        <v>2524</v>
      </c>
      <c r="R2" s="13">
        <v>1107</v>
      </c>
      <c r="S2" s="37">
        <v>1146</v>
      </c>
    </row>
    <row r="3" spans="1:19" ht="12.75">
      <c r="A3" s="27" t="s">
        <v>4</v>
      </c>
      <c r="B3" s="35"/>
      <c r="C3" s="64">
        <f>E3-'[1]Austria'!E3</f>
        <v>0</v>
      </c>
      <c r="D3" s="13">
        <f>F3-'[1]Austria'!F3</f>
        <v>0</v>
      </c>
      <c r="E3" s="149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175</v>
      </c>
      <c r="R3" s="13">
        <v>0</v>
      </c>
      <c r="S3" s="37">
        <v>0</v>
      </c>
    </row>
    <row r="4" spans="1:19" ht="12.75">
      <c r="A4" s="27" t="s">
        <v>11</v>
      </c>
      <c r="B4" s="35">
        <f aca="true" t="shared" si="0" ref="B4:B21">(E4-F4)/F4</f>
        <v>-0.31765588033768155</v>
      </c>
      <c r="C4" s="64">
        <f>E4-'[1]Austria'!E4</f>
        <v>-845.8500000000001</v>
      </c>
      <c r="D4" s="13">
        <f>F4-'[1]Austria'!F4</f>
        <v>-1169.31</v>
      </c>
      <c r="E4" s="149">
        <v>527.8</v>
      </c>
      <c r="F4" s="13">
        <v>773.51</v>
      </c>
      <c r="G4" s="13">
        <v>4459</v>
      </c>
      <c r="H4" s="13">
        <v>255</v>
      </c>
      <c r="I4" s="13">
        <v>0</v>
      </c>
      <c r="J4" s="13">
        <v>741</v>
      </c>
      <c r="K4" s="13">
        <v>248</v>
      </c>
      <c r="L4" s="13">
        <v>536</v>
      </c>
      <c r="M4" s="13">
        <v>29</v>
      </c>
      <c r="N4" s="13">
        <v>175</v>
      </c>
      <c r="O4" s="13">
        <v>0</v>
      </c>
      <c r="P4" s="13">
        <v>223</v>
      </c>
      <c r="Q4" s="13">
        <v>0</v>
      </c>
      <c r="R4" s="13">
        <v>0</v>
      </c>
      <c r="S4" s="37">
        <v>2</v>
      </c>
    </row>
    <row r="5" spans="1:19" ht="12.75">
      <c r="A5" s="27" t="s">
        <v>2</v>
      </c>
      <c r="B5" s="35"/>
      <c r="C5" s="64">
        <f>E5-'[1]Austria'!E5</f>
        <v>-0.7280000000000001</v>
      </c>
      <c r="D5" s="13">
        <f>F5-'[1]Austria'!F5</f>
        <v>-2</v>
      </c>
      <c r="E5" s="149">
        <v>0</v>
      </c>
      <c r="F5" s="13">
        <v>0</v>
      </c>
      <c r="G5" s="13">
        <v>858</v>
      </c>
      <c r="H5" s="13">
        <v>0</v>
      </c>
      <c r="I5" s="13">
        <v>0</v>
      </c>
      <c r="J5" s="13">
        <v>5</v>
      </c>
      <c r="K5" s="13">
        <v>64</v>
      </c>
      <c r="L5" s="13">
        <v>28</v>
      </c>
      <c r="M5" s="13">
        <v>0</v>
      </c>
      <c r="N5" s="13">
        <v>102</v>
      </c>
      <c r="O5" s="13">
        <v>73</v>
      </c>
      <c r="P5" s="13">
        <v>60</v>
      </c>
      <c r="Q5" s="13">
        <v>61</v>
      </c>
      <c r="R5" s="13">
        <v>7</v>
      </c>
      <c r="S5" s="37">
        <v>247</v>
      </c>
    </row>
    <row r="6" spans="1:19" ht="12.75">
      <c r="A6" s="27" t="s">
        <v>155</v>
      </c>
      <c r="B6" s="35">
        <f t="shared" si="0"/>
        <v>4.287586869314651</v>
      </c>
      <c r="C6" s="64">
        <f>E6-'[1]Austria'!E6</f>
        <v>-2092.9</v>
      </c>
      <c r="D6" s="13">
        <f>F6-'[1]Austria'!F6</f>
        <v>-888.6099999999999</v>
      </c>
      <c r="E6" s="149">
        <v>2807.5499999999997</v>
      </c>
      <c r="F6" s="13">
        <v>530.97</v>
      </c>
      <c r="G6" s="13">
        <v>4481</v>
      </c>
      <c r="H6" s="13">
        <v>152</v>
      </c>
      <c r="I6" s="13">
        <v>128</v>
      </c>
      <c r="J6" s="13">
        <v>2040</v>
      </c>
      <c r="K6" s="13">
        <v>2421</v>
      </c>
      <c r="L6" s="13">
        <v>1409</v>
      </c>
      <c r="M6" s="13">
        <v>275</v>
      </c>
      <c r="N6" s="13">
        <v>346</v>
      </c>
      <c r="O6" s="13"/>
      <c r="P6" s="13"/>
      <c r="Q6" s="13"/>
      <c r="R6" s="13"/>
      <c r="S6" s="37"/>
    </row>
    <row r="7" spans="1:19" ht="12.75">
      <c r="A7" s="29" t="s">
        <v>12</v>
      </c>
      <c r="B7" s="35">
        <f t="shared" si="0"/>
        <v>-0.6225712796843594</v>
      </c>
      <c r="C7" s="64">
        <f>E7-'[1]Austria'!E7</f>
        <v>-370.5</v>
      </c>
      <c r="D7" s="13">
        <f>F7-'[1]Austria'!F7</f>
        <v>-317.13</v>
      </c>
      <c r="E7" s="149">
        <v>152.1</v>
      </c>
      <c r="F7" s="13">
        <v>402.99</v>
      </c>
      <c r="G7" s="13">
        <v>1769</v>
      </c>
      <c r="H7" s="13">
        <v>197</v>
      </c>
      <c r="I7" s="110">
        <v>0</v>
      </c>
      <c r="J7" s="110">
        <v>304</v>
      </c>
      <c r="K7" s="110">
        <v>618</v>
      </c>
      <c r="L7" s="110">
        <v>679</v>
      </c>
      <c r="M7" s="110">
        <v>26</v>
      </c>
      <c r="N7" s="110">
        <v>278</v>
      </c>
      <c r="O7" s="110">
        <v>17</v>
      </c>
      <c r="P7" s="110">
        <v>214</v>
      </c>
      <c r="Q7" s="110">
        <v>192</v>
      </c>
      <c r="R7" s="13">
        <v>249</v>
      </c>
      <c r="S7" s="37">
        <v>3</v>
      </c>
    </row>
    <row r="8" spans="1:19" ht="12.75">
      <c r="A8" s="27" t="s">
        <v>9</v>
      </c>
      <c r="B8" s="35">
        <f t="shared" si="0"/>
        <v>1.6526766901575043</v>
      </c>
      <c r="C8" s="64">
        <f>E8-'[1]Austria'!E8</f>
        <v>-3754.7000000000007</v>
      </c>
      <c r="D8" s="13">
        <f>F8-'[1]Austria'!F8</f>
        <v>-2082.95</v>
      </c>
      <c r="E8" s="149">
        <v>4821.85</v>
      </c>
      <c r="F8" s="13">
        <v>1817.73</v>
      </c>
      <c r="G8" s="13">
        <v>4368</v>
      </c>
      <c r="H8" s="13">
        <v>1184</v>
      </c>
      <c r="I8" s="13">
        <v>0</v>
      </c>
      <c r="J8" s="13">
        <v>1917</v>
      </c>
      <c r="K8" s="13">
        <v>2524</v>
      </c>
      <c r="L8" s="13">
        <v>4390</v>
      </c>
      <c r="M8" s="13">
        <v>76</v>
      </c>
      <c r="N8" s="13">
        <v>650</v>
      </c>
      <c r="O8" s="13">
        <v>4470</v>
      </c>
      <c r="P8" s="13">
        <v>1306</v>
      </c>
      <c r="Q8" s="13">
        <v>5087</v>
      </c>
      <c r="R8" s="13">
        <v>129</v>
      </c>
      <c r="S8" s="37">
        <v>314</v>
      </c>
    </row>
    <row r="9" spans="1:19" ht="12.75">
      <c r="A9" s="27" t="s">
        <v>14</v>
      </c>
      <c r="B9" s="35"/>
      <c r="C9" s="64">
        <f>E9-'[1]Austria'!E9</f>
        <v>0</v>
      </c>
      <c r="D9" s="13">
        <f>F9-'[1]Austria'!F9</f>
        <v>0</v>
      </c>
      <c r="E9" s="149"/>
      <c r="F9" s="13"/>
      <c r="G9" s="13"/>
      <c r="H9" s="13">
        <v>0</v>
      </c>
      <c r="I9" s="13">
        <v>0</v>
      </c>
      <c r="J9" s="13"/>
      <c r="K9" s="13"/>
      <c r="L9" s="13"/>
      <c r="M9" s="13"/>
      <c r="N9" s="13">
        <v>0</v>
      </c>
      <c r="O9" s="13">
        <v>0</v>
      </c>
      <c r="P9" s="13">
        <v>3</v>
      </c>
      <c r="Q9" s="13">
        <v>6</v>
      </c>
      <c r="R9" s="13">
        <v>0</v>
      </c>
      <c r="S9" s="37">
        <v>8</v>
      </c>
    </row>
    <row r="10" spans="1:19" ht="12.75">
      <c r="A10" s="27" t="s">
        <v>3</v>
      </c>
      <c r="B10" s="35">
        <f t="shared" si="0"/>
        <v>0.9615375111597192</v>
      </c>
      <c r="C10" s="64">
        <f>E10-'[1]Austria'!E10</f>
        <v>-3201.7000000000007</v>
      </c>
      <c r="D10" s="13">
        <f>F10-'[1]Austria'!F10</f>
        <v>-2494.550000000001</v>
      </c>
      <c r="E10" s="149">
        <v>18258.05</v>
      </c>
      <c r="F10" s="13">
        <v>9308.029999999999</v>
      </c>
      <c r="G10" s="13">
        <v>11852</v>
      </c>
      <c r="H10" s="13">
        <v>7254</v>
      </c>
      <c r="I10" s="13">
        <v>6059</v>
      </c>
      <c r="J10" s="13">
        <v>20023</v>
      </c>
      <c r="K10" s="13">
        <v>23236</v>
      </c>
      <c r="L10" s="13">
        <v>11742</v>
      </c>
      <c r="M10" s="13">
        <v>15721</v>
      </c>
      <c r="N10" s="13">
        <v>23919</v>
      </c>
      <c r="O10" s="13">
        <v>15322</v>
      </c>
      <c r="P10" s="13">
        <v>19838</v>
      </c>
      <c r="Q10" s="13">
        <v>25660</v>
      </c>
      <c r="R10" s="13">
        <v>16210</v>
      </c>
      <c r="S10" s="37">
        <v>13034</v>
      </c>
    </row>
    <row r="11" spans="1:19" ht="12.75">
      <c r="A11" s="27" t="s">
        <v>17</v>
      </c>
      <c r="B11" s="35"/>
      <c r="C11" s="64">
        <f>E11-'[1]Austria'!E11</f>
        <v>-17.3017</v>
      </c>
      <c r="D11" s="13">
        <f>F11-'[1]Austria'!F11</f>
        <v>-0.28254</v>
      </c>
      <c r="E11" s="149">
        <v>1.3</v>
      </c>
      <c r="F11" s="13">
        <v>0</v>
      </c>
      <c r="G11" s="13">
        <v>1</v>
      </c>
      <c r="H11" s="13">
        <v>0</v>
      </c>
      <c r="I11" s="110">
        <v>0</v>
      </c>
      <c r="J11" s="110">
        <v>0</v>
      </c>
      <c r="K11" s="110">
        <v>40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3">
        <v>0</v>
      </c>
      <c r="S11" s="37">
        <v>0</v>
      </c>
    </row>
    <row r="12" spans="1:19" ht="12.75">
      <c r="A12" s="28" t="s">
        <v>10</v>
      </c>
      <c r="B12" s="35">
        <f t="shared" si="0"/>
        <v>0.01956380846157327</v>
      </c>
      <c r="C12" s="64">
        <f>E12-'[1]Austria'!E12</f>
        <v>-770.3500000000004</v>
      </c>
      <c r="D12" s="13">
        <f>F12-'[1]Austria'!F12</f>
        <v>-565.1700000000001</v>
      </c>
      <c r="E12" s="149">
        <v>3382.25</v>
      </c>
      <c r="F12" s="13">
        <v>3317.35</v>
      </c>
      <c r="G12" s="13">
        <v>7095</v>
      </c>
      <c r="H12" s="13">
        <v>1234</v>
      </c>
      <c r="I12" s="110">
        <v>35</v>
      </c>
      <c r="J12" s="110">
        <v>9619</v>
      </c>
      <c r="K12" s="110">
        <v>4223</v>
      </c>
      <c r="L12" s="110">
        <v>13338</v>
      </c>
      <c r="M12" s="110">
        <v>6728</v>
      </c>
      <c r="N12" s="110">
        <v>9798</v>
      </c>
      <c r="O12" s="110">
        <v>7007</v>
      </c>
      <c r="P12" s="110">
        <v>10376</v>
      </c>
      <c r="Q12" s="110">
        <v>8770</v>
      </c>
      <c r="R12" s="13">
        <v>3314</v>
      </c>
      <c r="S12" s="37">
        <v>5110</v>
      </c>
    </row>
    <row r="13" spans="1:19" ht="12.75">
      <c r="A13" s="28" t="s">
        <v>27</v>
      </c>
      <c r="B13" s="35">
        <f t="shared" si="0"/>
        <v>-0.39769599400583805</v>
      </c>
      <c r="C13" s="64">
        <f>E13-'[1]Austria'!E13</f>
        <v>-448.5000000000002</v>
      </c>
      <c r="D13" s="13">
        <f>F13-'[1]Austria'!F13</f>
        <v>-605.79</v>
      </c>
      <c r="E13" s="149">
        <v>1157.55</v>
      </c>
      <c r="F13" s="13">
        <v>1921.87</v>
      </c>
      <c r="G13" s="13">
        <v>5144</v>
      </c>
      <c r="H13" s="13">
        <v>474</v>
      </c>
      <c r="I13" s="110">
        <v>19</v>
      </c>
      <c r="J13" s="110">
        <v>4249</v>
      </c>
      <c r="K13" s="110">
        <v>3479</v>
      </c>
      <c r="L13" s="110">
        <v>4590</v>
      </c>
      <c r="M13" s="110">
        <v>2863</v>
      </c>
      <c r="N13" s="110">
        <v>3417</v>
      </c>
      <c r="O13" s="110">
        <v>3811</v>
      </c>
      <c r="P13" s="110">
        <v>4691</v>
      </c>
      <c r="Q13" s="110">
        <v>3106</v>
      </c>
      <c r="R13" s="13">
        <v>2136</v>
      </c>
      <c r="S13" s="37">
        <v>2663</v>
      </c>
    </row>
    <row r="14" spans="1:19" ht="12.75">
      <c r="A14" s="29" t="s">
        <v>26</v>
      </c>
      <c r="B14" s="35"/>
      <c r="C14" s="64">
        <f>E14-'[1]Austria'!E14</f>
        <v>0</v>
      </c>
      <c r="D14" s="13">
        <f>F14-'[1]Austria'!F14</f>
        <v>0</v>
      </c>
      <c r="E14" s="149">
        <v>0</v>
      </c>
      <c r="F14" s="13">
        <v>0</v>
      </c>
      <c r="G14" s="13">
        <v>0</v>
      </c>
      <c r="H14" s="13">
        <v>0</v>
      </c>
      <c r="I14" s="110">
        <v>0</v>
      </c>
      <c r="J14" s="110">
        <v>1919</v>
      </c>
      <c r="K14" s="110">
        <v>1053</v>
      </c>
      <c r="L14" s="110">
        <v>2213</v>
      </c>
      <c r="M14" s="110">
        <v>1568</v>
      </c>
      <c r="N14" s="110">
        <v>1878</v>
      </c>
      <c r="O14" s="110">
        <v>1964</v>
      </c>
      <c r="P14" s="110">
        <v>3138</v>
      </c>
      <c r="Q14" s="110">
        <v>2088</v>
      </c>
      <c r="R14" s="13">
        <v>1634</v>
      </c>
      <c r="S14" s="37">
        <v>2156</v>
      </c>
    </row>
    <row r="15" spans="1:19" ht="12.75">
      <c r="A15" s="29" t="s">
        <v>97</v>
      </c>
      <c r="B15" s="35"/>
      <c r="C15" s="64">
        <f>E15-'[1]Austria'!E15</f>
        <v>0</v>
      </c>
      <c r="D15" s="13">
        <f>F15-'[1]Austria'!F15</f>
        <v>0</v>
      </c>
      <c r="E15" s="149">
        <v>0</v>
      </c>
      <c r="F15" s="13">
        <v>0</v>
      </c>
      <c r="G15" s="13">
        <v>0</v>
      </c>
      <c r="H15" s="13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3">
        <v>0</v>
      </c>
      <c r="S15" s="37">
        <v>0</v>
      </c>
    </row>
    <row r="16" spans="1:19" ht="12.75">
      <c r="A16" s="29" t="s">
        <v>13</v>
      </c>
      <c r="B16" s="35">
        <f t="shared" si="0"/>
        <v>-0.06947957591087668</v>
      </c>
      <c r="C16" s="64">
        <f>E16-'[1]Austria'!E16</f>
        <v>-214.1</v>
      </c>
      <c r="D16" s="13">
        <f>F16-'[1]Austria'!F16</f>
        <v>-230.02999999999997</v>
      </c>
      <c r="E16" s="149">
        <v>172.9</v>
      </c>
      <c r="F16" s="13">
        <v>185.81</v>
      </c>
      <c r="G16" s="13">
        <v>576</v>
      </c>
      <c r="H16" s="13">
        <v>166</v>
      </c>
      <c r="I16" s="110">
        <v>40</v>
      </c>
      <c r="J16" s="110">
        <v>774</v>
      </c>
      <c r="K16" s="110">
        <v>136</v>
      </c>
      <c r="L16" s="110">
        <v>331</v>
      </c>
      <c r="M16" s="110">
        <v>96</v>
      </c>
      <c r="N16" s="110">
        <v>343</v>
      </c>
      <c r="O16" s="110">
        <v>390</v>
      </c>
      <c r="P16" s="110">
        <v>223</v>
      </c>
      <c r="Q16" s="110">
        <v>404</v>
      </c>
      <c r="R16" s="13">
        <v>20</v>
      </c>
      <c r="S16" s="37">
        <v>104</v>
      </c>
    </row>
    <row r="17" spans="1:19" ht="12.75">
      <c r="A17" s="29" t="s">
        <v>136</v>
      </c>
      <c r="B17" s="35">
        <f t="shared" si="0"/>
        <v>-0.1392007937561577</v>
      </c>
      <c r="C17" s="64">
        <f>E17-'[1]Austria'!E17</f>
        <v>-340.6500000000001</v>
      </c>
      <c r="D17" s="13">
        <f>F17-'[1]Austria'!F17</f>
        <v>-148.56999999999994</v>
      </c>
      <c r="E17" s="149">
        <v>1231.9499999999998</v>
      </c>
      <c r="F17" s="13">
        <v>1431.17</v>
      </c>
      <c r="G17" s="13">
        <v>1413</v>
      </c>
      <c r="H17" s="13">
        <v>305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3"/>
      <c r="S17" s="37"/>
    </row>
    <row r="18" spans="1:19" ht="12.75">
      <c r="A18" s="29" t="s">
        <v>117</v>
      </c>
      <c r="B18" s="35"/>
      <c r="C18" s="64">
        <f>E18-'[1]Austria'!E18</f>
        <v>0</v>
      </c>
      <c r="D18" s="13">
        <f>F18-'[1]Austria'!F18</f>
        <v>0</v>
      </c>
      <c r="E18" s="149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37">
        <v>0</v>
      </c>
    </row>
    <row r="19" spans="1:19" ht="12.75">
      <c r="A19" s="29" t="s">
        <v>98</v>
      </c>
      <c r="B19" s="35">
        <f t="shared" si="0"/>
        <v>-1</v>
      </c>
      <c r="C19" s="64">
        <f>E19-'[1]Austria'!E19</f>
        <v>0</v>
      </c>
      <c r="D19" s="13">
        <f>F19-'[1]Austria'!F19</f>
        <v>-32.46</v>
      </c>
      <c r="E19" s="149">
        <v>0</v>
      </c>
      <c r="F19" s="13">
        <v>4</v>
      </c>
      <c r="G19" s="13">
        <v>1942</v>
      </c>
      <c r="H19" s="13">
        <v>0</v>
      </c>
      <c r="I19" s="13">
        <v>0</v>
      </c>
      <c r="J19" s="13">
        <v>75</v>
      </c>
      <c r="K19" s="13">
        <v>796</v>
      </c>
      <c r="L19" s="13">
        <v>65</v>
      </c>
      <c r="M19" s="13">
        <v>75</v>
      </c>
      <c r="N19" s="13">
        <v>1072</v>
      </c>
      <c r="O19" s="13">
        <v>223</v>
      </c>
      <c r="P19" s="13">
        <v>646</v>
      </c>
      <c r="Q19" s="13">
        <v>0</v>
      </c>
      <c r="R19" s="13">
        <v>0</v>
      </c>
      <c r="S19" s="37">
        <v>0</v>
      </c>
    </row>
    <row r="20" spans="1:19" ht="13.5" thickBot="1">
      <c r="A20" s="30" t="s">
        <v>60</v>
      </c>
      <c r="B20" s="36">
        <f t="shared" si="0"/>
        <v>1.425230535221979</v>
      </c>
      <c r="C20" s="65">
        <f>E20-'[1]Austria'!E20</f>
        <v>-418.6500000000001</v>
      </c>
      <c r="D20" s="15">
        <f>F20-'[1]Austria'!F20</f>
        <v>-370.0899999999999</v>
      </c>
      <c r="E20" s="150">
        <v>1275.55</v>
      </c>
      <c r="F20" s="15">
        <v>525.95</v>
      </c>
      <c r="G20" s="15">
        <v>635</v>
      </c>
      <c r="H20" s="15">
        <v>1</v>
      </c>
      <c r="I20" s="111">
        <v>1</v>
      </c>
      <c r="J20" s="111">
        <v>75</v>
      </c>
      <c r="K20" s="111">
        <v>183</v>
      </c>
      <c r="L20" s="111">
        <v>423</v>
      </c>
      <c r="M20" s="111">
        <v>6</v>
      </c>
      <c r="N20" s="111">
        <v>93</v>
      </c>
      <c r="O20" s="111">
        <v>407</v>
      </c>
      <c r="P20" s="111">
        <v>17</v>
      </c>
      <c r="Q20" s="111">
        <v>0</v>
      </c>
      <c r="R20" s="15">
        <v>11</v>
      </c>
      <c r="S20" s="39">
        <v>47</v>
      </c>
    </row>
    <row r="21" spans="1:19" ht="13.5" thickBot="1">
      <c r="A21" s="45" t="s">
        <v>23</v>
      </c>
      <c r="B21" s="41">
        <f t="shared" si="0"/>
        <v>0.6713697246350079</v>
      </c>
      <c r="C21" s="66">
        <f>E21-'[1]Austria'!E21</f>
        <v>-12614.979699999996</v>
      </c>
      <c r="D21" s="42">
        <f>F21-'[1]Austria'!F21</f>
        <v>-8990.252539999998</v>
      </c>
      <c r="E21" s="135">
        <f>SUM(E2:E20)</f>
        <v>33802.5</v>
      </c>
      <c r="F21" s="42">
        <f>SUM(F2:F20)</f>
        <v>20224.430000000004</v>
      </c>
      <c r="G21" s="42">
        <f>SUM(G2:G20)</f>
        <v>44922</v>
      </c>
      <c r="H21" s="42">
        <f aca="true" t="shared" si="1" ref="H21:M21">SUM(H2:H20)</f>
        <v>11222</v>
      </c>
      <c r="I21" s="42">
        <f t="shared" si="1"/>
        <v>6282</v>
      </c>
      <c r="J21" s="42">
        <f t="shared" si="1"/>
        <v>42160</v>
      </c>
      <c r="K21" s="42">
        <f t="shared" si="1"/>
        <v>39345</v>
      </c>
      <c r="L21" s="42">
        <f t="shared" si="1"/>
        <v>40541</v>
      </c>
      <c r="M21" s="42">
        <f t="shared" si="1"/>
        <v>27673</v>
      </c>
      <c r="N21" s="42">
        <f aca="true" t="shared" si="2" ref="N21:S21">SUM(N2:N20)</f>
        <v>42860</v>
      </c>
      <c r="O21" s="42">
        <f t="shared" si="2"/>
        <v>34582</v>
      </c>
      <c r="P21" s="42">
        <f t="shared" si="2"/>
        <v>41884</v>
      </c>
      <c r="Q21" s="42">
        <f t="shared" si="2"/>
        <v>48073</v>
      </c>
      <c r="R21" s="42">
        <f t="shared" si="2"/>
        <v>24817</v>
      </c>
      <c r="S21" s="43">
        <f t="shared" si="2"/>
        <v>24834</v>
      </c>
    </row>
    <row r="22" spans="2:16" s="9" customFormat="1" ht="12.75">
      <c r="B22" s="44"/>
      <c r="C22" s="44"/>
      <c r="D22" s="44"/>
      <c r="E22" s="44"/>
      <c r="F22" s="44"/>
      <c r="G22" s="44"/>
      <c r="H22" s="44"/>
      <c r="I22" s="44"/>
      <c r="J22" s="12"/>
      <c r="K22" s="12"/>
      <c r="L22" s="12"/>
      <c r="M22" s="12"/>
      <c r="N22" s="12"/>
      <c r="O22" s="12"/>
      <c r="P22" s="12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5"/>
      <c r="R29" s="1"/>
      <c r="S29" s="1"/>
    </row>
    <row r="30" spans="17:19" ht="18">
      <c r="Q30" s="5"/>
      <c r="R30" s="1"/>
      <c r="S30" s="1"/>
    </row>
    <row r="31" spans="17:19" ht="18">
      <c r="Q31" s="5"/>
      <c r="R31" s="1"/>
      <c r="S31" s="1"/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6"/>
      <c r="R37" s="1"/>
      <c r="S37" s="1"/>
    </row>
    <row r="38" spans="17:19" ht="18">
      <c r="Q38" s="7"/>
      <c r="R38" s="2"/>
      <c r="S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7" width="11.421875" style="9" customWidth="1"/>
    <col min="8" max="8" width="11.28125" style="9" customWidth="1"/>
    <col min="9" max="9" width="10.140625" style="9" bestFit="1" customWidth="1"/>
    <col min="10" max="16" width="10.140625" style="12" bestFit="1" customWidth="1"/>
    <col min="17" max="19" width="10.140625" style="0" bestFit="1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27" t="s">
        <v>4</v>
      </c>
      <c r="B2" s="35"/>
      <c r="C2" s="64">
        <f>E2-'[1]Belgium'!E2</f>
        <v>-1300.5780874512986</v>
      </c>
      <c r="D2" s="13">
        <f>F2-'[1]Belgium'!F2</f>
        <v>0</v>
      </c>
      <c r="E2" s="149">
        <v>0</v>
      </c>
      <c r="F2" s="13">
        <v>0</v>
      </c>
      <c r="G2" s="8">
        <v>0</v>
      </c>
      <c r="H2" s="13">
        <v>0</v>
      </c>
      <c r="I2" s="13">
        <v>0</v>
      </c>
      <c r="J2" s="13">
        <v>89</v>
      </c>
      <c r="K2" s="13">
        <v>0</v>
      </c>
      <c r="L2" s="13">
        <v>130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4800</v>
      </c>
      <c r="S2" s="37">
        <v>350</v>
      </c>
    </row>
    <row r="3" spans="1:19" ht="12.75">
      <c r="A3" s="27" t="s">
        <v>162</v>
      </c>
      <c r="B3" s="35"/>
      <c r="C3" s="64">
        <f>E3-'[1]Belgium'!E3</f>
        <v>0</v>
      </c>
      <c r="D3" s="13">
        <f>F3-'[1]Belgium'!F3</f>
        <v>0</v>
      </c>
      <c r="E3" s="149"/>
      <c r="F3" s="13">
        <v>0</v>
      </c>
      <c r="G3" s="8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700</v>
      </c>
      <c r="S3" s="37">
        <v>0</v>
      </c>
    </row>
    <row r="4" spans="1:19" ht="12.75">
      <c r="A4" s="27" t="s">
        <v>2</v>
      </c>
      <c r="B4" s="35"/>
      <c r="C4" s="64">
        <f>E4-'[1]Belgium'!E4</f>
        <v>0</v>
      </c>
      <c r="D4" s="13">
        <f>F4-'[1]Belgium'!F4</f>
        <v>0</v>
      </c>
      <c r="E4" s="149">
        <v>0</v>
      </c>
      <c r="F4" s="13">
        <v>0</v>
      </c>
      <c r="G4" s="8">
        <v>0</v>
      </c>
      <c r="H4" s="13">
        <v>0</v>
      </c>
      <c r="I4" s="13">
        <v>0</v>
      </c>
      <c r="J4" s="13">
        <v>92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1500</v>
      </c>
      <c r="S4" s="37">
        <v>0</v>
      </c>
    </row>
    <row r="5" spans="1:19" ht="12.75">
      <c r="A5" s="27" t="s">
        <v>103</v>
      </c>
      <c r="B5" s="35"/>
      <c r="C5" s="64">
        <f>E5-'[1]Belgium'!E5</f>
        <v>0</v>
      </c>
      <c r="D5" s="13">
        <f>F5-'[1]Belgium'!F5</f>
        <v>0</v>
      </c>
      <c r="E5" s="149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7">
        <v>0</v>
      </c>
    </row>
    <row r="6" spans="1:19" ht="12.75">
      <c r="A6" s="27" t="s">
        <v>3</v>
      </c>
      <c r="B6" s="35">
        <f>(E6-F6)/F6</f>
        <v>-0.8852592420367357</v>
      </c>
      <c r="C6" s="64">
        <f>E6-'[1]Belgium'!E6</f>
        <v>-220.82661538086404</v>
      </c>
      <c r="D6" s="13">
        <f>F6-'[1]Belgium'!F6</f>
        <v>-1678</v>
      </c>
      <c r="E6" s="149">
        <v>987</v>
      </c>
      <c r="F6" s="13">
        <v>8602</v>
      </c>
      <c r="G6" s="8">
        <v>3022</v>
      </c>
      <c r="H6" s="13">
        <v>1458</v>
      </c>
      <c r="I6" s="13">
        <v>4171</v>
      </c>
      <c r="J6" s="13">
        <v>7671</v>
      </c>
      <c r="K6" s="13">
        <v>4377</v>
      </c>
      <c r="L6" s="13">
        <v>3879</v>
      </c>
      <c r="M6" s="13">
        <v>1146</v>
      </c>
      <c r="N6" s="13">
        <v>2500</v>
      </c>
      <c r="O6" s="13">
        <v>195</v>
      </c>
      <c r="P6" s="13">
        <v>8963</v>
      </c>
      <c r="Q6" s="13">
        <v>3900</v>
      </c>
      <c r="R6" s="13">
        <v>9700</v>
      </c>
      <c r="S6" s="37">
        <v>4700</v>
      </c>
    </row>
    <row r="7" spans="1:19" ht="12.75">
      <c r="A7" s="28" t="s">
        <v>27</v>
      </c>
      <c r="B7" s="35">
        <f>(E7-F7)/F7</f>
        <v>-0.24982928494780998</v>
      </c>
      <c r="C7" s="64">
        <f>E7-'[1]Belgium'!E7</f>
        <v>-4049.9114179269964</v>
      </c>
      <c r="D7" s="13">
        <f>F7-'[1]Belgium'!F7</f>
        <v>-6316</v>
      </c>
      <c r="E7" s="149">
        <v>15380</v>
      </c>
      <c r="F7" s="13">
        <v>20502</v>
      </c>
      <c r="G7" s="8">
        <v>15827</v>
      </c>
      <c r="H7" s="13">
        <v>162</v>
      </c>
      <c r="I7" s="110">
        <v>9632</v>
      </c>
      <c r="J7" s="110">
        <v>23294</v>
      </c>
      <c r="K7" s="110">
        <v>28681</v>
      </c>
      <c r="L7" s="110">
        <v>11376</v>
      </c>
      <c r="M7" s="110">
        <v>4518</v>
      </c>
      <c r="N7" s="110">
        <v>10000</v>
      </c>
      <c r="O7" s="110">
        <v>25472</v>
      </c>
      <c r="P7" s="110">
        <v>45493</v>
      </c>
      <c r="Q7" s="110">
        <v>67400</v>
      </c>
      <c r="R7" s="13">
        <v>51800</v>
      </c>
      <c r="S7" s="37">
        <v>47150</v>
      </c>
    </row>
    <row r="8" spans="1:19" ht="12.75">
      <c r="A8" s="29" t="s">
        <v>26</v>
      </c>
      <c r="B8" s="35">
        <f>(E8-F8)/F8</f>
        <v>-0.7712880726579356</v>
      </c>
      <c r="C8" s="64">
        <f>E8-'[1]Belgium'!E8</f>
        <v>-926.288046215187</v>
      </c>
      <c r="D8" s="13">
        <f>F8-'[1]Belgium'!F8</f>
        <v>-2201</v>
      </c>
      <c r="E8" s="149">
        <v>4558</v>
      </c>
      <c r="F8" s="13">
        <v>19929</v>
      </c>
      <c r="G8" s="8">
        <v>15901</v>
      </c>
      <c r="H8" s="13">
        <v>26</v>
      </c>
      <c r="I8" s="110">
        <v>5703</v>
      </c>
      <c r="J8" s="110">
        <v>5737</v>
      </c>
      <c r="K8" s="110">
        <v>12377</v>
      </c>
      <c r="L8" s="110">
        <v>3197</v>
      </c>
      <c r="M8" s="110">
        <v>2347</v>
      </c>
      <c r="N8" s="110">
        <v>5570</v>
      </c>
      <c r="O8" s="110">
        <v>2037</v>
      </c>
      <c r="P8" s="110">
        <v>7039</v>
      </c>
      <c r="Q8" s="110">
        <v>6600</v>
      </c>
      <c r="R8" s="13">
        <v>18900</v>
      </c>
      <c r="S8" s="37">
        <v>14300</v>
      </c>
    </row>
    <row r="9" spans="1:19" ht="13.5" thickBot="1">
      <c r="A9" s="30" t="s">
        <v>60</v>
      </c>
      <c r="B9" s="36">
        <f>(E9-F9)/F9</f>
        <v>3.4879725085910653</v>
      </c>
      <c r="C9" s="65">
        <f>E9-'[1]Belgium'!E9</f>
        <v>-2559</v>
      </c>
      <c r="D9" s="15">
        <f>F9-'[1]Belgium'!F9</f>
        <v>-1650</v>
      </c>
      <c r="E9" s="150">
        <v>2612</v>
      </c>
      <c r="F9" s="15">
        <v>582</v>
      </c>
      <c r="G9" s="15">
        <v>3835</v>
      </c>
      <c r="H9" s="15">
        <v>181</v>
      </c>
      <c r="I9" s="111">
        <v>10</v>
      </c>
      <c r="J9" s="111">
        <v>4429</v>
      </c>
      <c r="K9" s="111">
        <v>1216</v>
      </c>
      <c r="L9" s="111">
        <v>1656</v>
      </c>
      <c r="M9" s="111">
        <v>405</v>
      </c>
      <c r="N9" s="111">
        <v>1070</v>
      </c>
      <c r="O9" s="111">
        <v>6836</v>
      </c>
      <c r="P9" s="111">
        <v>4019</v>
      </c>
      <c r="Q9" s="111">
        <v>14300</v>
      </c>
      <c r="R9" s="15">
        <v>10700</v>
      </c>
      <c r="S9" s="39">
        <v>700</v>
      </c>
    </row>
    <row r="10" spans="1:19" ht="13.5" thickBot="1">
      <c r="A10" s="45" t="s">
        <v>23</v>
      </c>
      <c r="B10" s="41">
        <f>(E10-F10)/F10</f>
        <v>-0.5256071752494206</v>
      </c>
      <c r="C10" s="66">
        <f>E10-'[1]Belgium'!E10</f>
        <v>-9056.604166974346</v>
      </c>
      <c r="D10" s="42">
        <f>F10-'[1]Belgium'!F10</f>
        <v>-11845</v>
      </c>
      <c r="E10" s="135">
        <f>SUM(E2:E9)</f>
        <v>23537</v>
      </c>
      <c r="F10" s="42">
        <f>SUM(F2:F9)</f>
        <v>49615</v>
      </c>
      <c r="G10" s="42">
        <f>SUM(G2:G9)</f>
        <v>38585</v>
      </c>
      <c r="H10" s="42">
        <f aca="true" t="shared" si="0" ref="H10:M10">SUM(H2:H9)</f>
        <v>1827</v>
      </c>
      <c r="I10" s="42">
        <f t="shared" si="0"/>
        <v>19516</v>
      </c>
      <c r="J10" s="42">
        <f t="shared" si="0"/>
        <v>41312</v>
      </c>
      <c r="K10" s="42">
        <f t="shared" si="0"/>
        <v>46651</v>
      </c>
      <c r="L10" s="42">
        <f t="shared" si="0"/>
        <v>20238</v>
      </c>
      <c r="M10" s="42">
        <f t="shared" si="0"/>
        <v>8416</v>
      </c>
      <c r="N10" s="42">
        <f aca="true" t="shared" si="1" ref="N10:S10">SUM(N2:N9)</f>
        <v>19140</v>
      </c>
      <c r="O10" s="42">
        <f t="shared" si="1"/>
        <v>34540</v>
      </c>
      <c r="P10" s="42">
        <f t="shared" si="1"/>
        <v>65514</v>
      </c>
      <c r="Q10" s="42">
        <f t="shared" si="1"/>
        <v>92200</v>
      </c>
      <c r="R10" s="42">
        <f t="shared" si="1"/>
        <v>98100</v>
      </c>
      <c r="S10" s="43">
        <f t="shared" si="1"/>
        <v>67200</v>
      </c>
    </row>
    <row r="11" spans="1:17" s="9" customFormat="1" ht="12.75">
      <c r="A11" s="9" t="s">
        <v>104</v>
      </c>
      <c r="B11" s="44"/>
      <c r="C11" s="44"/>
      <c r="D11" s="44"/>
      <c r="E11" s="44"/>
      <c r="F11" s="44"/>
      <c r="G11" s="44"/>
      <c r="H11" s="44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9" customFormat="1" ht="12.75">
      <c r="A12" s="9" t="s">
        <v>161</v>
      </c>
      <c r="B12" s="44"/>
      <c r="C12" s="44"/>
      <c r="D12" s="44"/>
      <c r="E12" s="44"/>
      <c r="F12" s="44"/>
      <c r="G12" s="44"/>
      <c r="H12" s="44"/>
      <c r="I12" s="12"/>
      <c r="J12" s="12"/>
      <c r="K12" s="12"/>
      <c r="L12" s="12"/>
      <c r="M12" s="12"/>
      <c r="N12" s="12"/>
      <c r="O12" s="12"/>
      <c r="P12" s="12"/>
      <c r="Q12" s="12"/>
    </row>
    <row r="13" spans="2:17" s="9" customFormat="1" ht="13.5" thickBot="1">
      <c r="B13" s="44"/>
      <c r="C13" s="44"/>
      <c r="D13" s="44"/>
      <c r="E13" s="44"/>
      <c r="F13" s="44"/>
      <c r="G13" s="44"/>
      <c r="H13" s="44"/>
      <c r="I13" s="12"/>
      <c r="J13" s="12"/>
      <c r="K13" s="12"/>
      <c r="L13" s="12"/>
      <c r="M13" s="12"/>
      <c r="N13" s="12"/>
      <c r="O13" s="12"/>
      <c r="P13" s="12"/>
      <c r="Q13" s="12"/>
    </row>
    <row r="14" spans="1:19" s="16" customFormat="1" ht="13.5" thickBot="1">
      <c r="A14" s="31" t="s">
        <v>25</v>
      </c>
      <c r="B14" s="32" t="s">
        <v>173</v>
      </c>
      <c r="C14" s="63" t="s">
        <v>172</v>
      </c>
      <c r="D14" s="109" t="s">
        <v>171</v>
      </c>
      <c r="E14" s="148">
        <v>44348</v>
      </c>
      <c r="F14" s="161">
        <v>43983</v>
      </c>
      <c r="G14" s="161">
        <v>43617</v>
      </c>
      <c r="H14" s="161">
        <v>43252</v>
      </c>
      <c r="I14" s="33">
        <v>42887</v>
      </c>
      <c r="J14" s="33">
        <v>42522</v>
      </c>
      <c r="K14" s="33">
        <v>42156</v>
      </c>
      <c r="L14" s="33">
        <v>41791</v>
      </c>
      <c r="M14" s="33">
        <v>41426</v>
      </c>
      <c r="N14" s="33">
        <v>41061</v>
      </c>
      <c r="O14" s="33">
        <v>40695</v>
      </c>
      <c r="P14" s="33">
        <v>40330</v>
      </c>
      <c r="Q14" s="33">
        <v>39965</v>
      </c>
      <c r="R14" s="33">
        <v>39600</v>
      </c>
      <c r="S14" s="34">
        <v>39234</v>
      </c>
    </row>
    <row r="15" spans="1:19" ht="12.75">
      <c r="A15" s="27" t="s">
        <v>7</v>
      </c>
      <c r="B15" s="35">
        <f>(E15-F15)/F15</f>
        <v>19.830815709969787</v>
      </c>
      <c r="C15" s="64">
        <f>E15-'[1]Belgium'!E15</f>
        <v>-25718</v>
      </c>
      <c r="D15" s="13">
        <f>F15-'[1]Belgium'!F15</f>
        <v>-13477</v>
      </c>
      <c r="E15" s="149">
        <v>13790</v>
      </c>
      <c r="F15" s="13">
        <v>662</v>
      </c>
      <c r="G15" s="8">
        <v>12933</v>
      </c>
      <c r="H15" s="13">
        <v>3525</v>
      </c>
      <c r="I15" s="13">
        <v>1914</v>
      </c>
      <c r="J15" s="13">
        <v>20272</v>
      </c>
      <c r="K15" s="13">
        <v>9728</v>
      </c>
      <c r="L15" s="13">
        <v>3865</v>
      </c>
      <c r="M15" s="13">
        <v>3010</v>
      </c>
      <c r="N15" s="13">
        <v>1755</v>
      </c>
      <c r="O15" s="13">
        <v>13500</v>
      </c>
      <c r="P15" s="13">
        <v>5200</v>
      </c>
      <c r="Q15" s="13">
        <v>0</v>
      </c>
      <c r="R15" s="13">
        <v>44000</v>
      </c>
      <c r="S15" s="37">
        <v>26550</v>
      </c>
    </row>
    <row r="16" spans="1:19" ht="12.75">
      <c r="A16" s="27" t="s">
        <v>102</v>
      </c>
      <c r="B16" s="35"/>
      <c r="C16" s="64">
        <f>E16-'[1]Belgium'!E16</f>
        <v>0</v>
      </c>
      <c r="D16" s="13">
        <f>F16-'[1]Belgium'!F16</f>
        <v>0</v>
      </c>
      <c r="E16" s="149">
        <v>0</v>
      </c>
      <c r="F16" s="13">
        <v>0</v>
      </c>
      <c r="G16" s="8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>
        <v>0</v>
      </c>
      <c r="R16" s="13">
        <v>0</v>
      </c>
      <c r="S16" s="37">
        <v>150</v>
      </c>
    </row>
    <row r="17" spans="1:19" ht="12.75">
      <c r="A17" s="27" t="s">
        <v>163</v>
      </c>
      <c r="B17" s="35"/>
      <c r="C17" s="64">
        <f>E17-'[1]Belgium'!E17</f>
        <v>0</v>
      </c>
      <c r="D17" s="13">
        <f>F17-'[1]Belgium'!F17</f>
        <v>0</v>
      </c>
      <c r="E17" s="149">
        <v>0</v>
      </c>
      <c r="F17" s="13">
        <v>0</v>
      </c>
      <c r="G17" s="8">
        <v>0</v>
      </c>
      <c r="H17" s="13">
        <v>0</v>
      </c>
      <c r="I17" s="13">
        <v>0</v>
      </c>
      <c r="J17" s="13">
        <v>0</v>
      </c>
      <c r="K17" s="13"/>
      <c r="L17" s="13"/>
      <c r="M17" s="13"/>
      <c r="N17" s="13"/>
      <c r="O17" s="13"/>
      <c r="P17" s="13"/>
      <c r="Q17" s="13"/>
      <c r="R17" s="13"/>
      <c r="S17" s="37"/>
    </row>
    <row r="18" spans="1:19" ht="13.5" thickBot="1">
      <c r="A18" s="38" t="s">
        <v>6</v>
      </c>
      <c r="B18" s="36">
        <f>(E18-F18)/F18</f>
        <v>-1</v>
      </c>
      <c r="C18" s="65">
        <f>E18-'[1]Belgium'!E18</f>
        <v>-75</v>
      </c>
      <c r="D18" s="15">
        <f>F18-'[1]Belgium'!F18</f>
        <v>0</v>
      </c>
      <c r="E18" s="150">
        <v>0</v>
      </c>
      <c r="F18" s="15">
        <v>153</v>
      </c>
      <c r="G18" s="15">
        <v>152</v>
      </c>
      <c r="H18" s="15">
        <v>0</v>
      </c>
      <c r="I18" s="15">
        <v>0</v>
      </c>
      <c r="J18" s="15">
        <v>0</v>
      </c>
      <c r="K18" s="15">
        <v>109</v>
      </c>
      <c r="L18" s="15">
        <v>0</v>
      </c>
      <c r="M18" s="15">
        <v>0</v>
      </c>
      <c r="N18" s="15">
        <v>0</v>
      </c>
      <c r="O18" s="15">
        <v>0</v>
      </c>
      <c r="P18" s="15"/>
      <c r="Q18" s="15">
        <v>0</v>
      </c>
      <c r="R18" s="15">
        <v>0</v>
      </c>
      <c r="S18" s="39">
        <v>500</v>
      </c>
    </row>
    <row r="19" spans="1:19" ht="13.5" thickBot="1">
      <c r="A19" s="40" t="s">
        <v>23</v>
      </c>
      <c r="B19" s="41">
        <f>(E19-F19)/F19</f>
        <v>15.920245398773005</v>
      </c>
      <c r="C19" s="88">
        <f>E19-'[1]Belgium'!E19</f>
        <v>-25793</v>
      </c>
      <c r="D19" s="42">
        <f>F19-'[1]Belgium'!F19</f>
        <v>-13477</v>
      </c>
      <c r="E19" s="135">
        <f>SUM(E15:E18)</f>
        <v>13790</v>
      </c>
      <c r="F19" s="42">
        <f>SUM(F15:F18)</f>
        <v>815</v>
      </c>
      <c r="G19" s="42">
        <f>SUM(G15:G18)</f>
        <v>13085</v>
      </c>
      <c r="H19" s="42">
        <f aca="true" t="shared" si="2" ref="H19:M19">SUM(H15:H18)</f>
        <v>3525</v>
      </c>
      <c r="I19" s="42">
        <f t="shared" si="2"/>
        <v>1914</v>
      </c>
      <c r="J19" s="42">
        <f t="shared" si="2"/>
        <v>20272</v>
      </c>
      <c r="K19" s="42">
        <f t="shared" si="2"/>
        <v>9837</v>
      </c>
      <c r="L19" s="42">
        <f t="shared" si="2"/>
        <v>3865</v>
      </c>
      <c r="M19" s="42">
        <f t="shared" si="2"/>
        <v>3010</v>
      </c>
      <c r="N19" s="42">
        <f aca="true" t="shared" si="3" ref="N19:S19">SUM(N15:N18)</f>
        <v>1755</v>
      </c>
      <c r="O19" s="42">
        <f t="shared" si="3"/>
        <v>13500</v>
      </c>
      <c r="P19" s="42">
        <f t="shared" si="3"/>
        <v>5200</v>
      </c>
      <c r="Q19" s="42">
        <f t="shared" si="3"/>
        <v>0</v>
      </c>
      <c r="R19" s="42">
        <f t="shared" si="3"/>
        <v>44000</v>
      </c>
      <c r="S19" s="43">
        <f t="shared" si="3"/>
        <v>27200</v>
      </c>
    </row>
    <row r="26" spans="17:19" ht="18">
      <c r="Q26" s="5"/>
      <c r="R26" s="1"/>
      <c r="S26" s="1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5"/>
      <c r="R29" s="1"/>
      <c r="S29" s="1"/>
    </row>
    <row r="30" spans="17:19" ht="18">
      <c r="Q30" s="5"/>
      <c r="R30" s="1"/>
      <c r="S30" s="1"/>
    </row>
    <row r="31" spans="17:19" ht="18">
      <c r="Q31" s="5"/>
      <c r="R31" s="1"/>
      <c r="S31" s="1"/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6"/>
      <c r="R36" s="1"/>
      <c r="S36" s="1"/>
    </row>
    <row r="37" spans="17:19" ht="18">
      <c r="Q37" s="7"/>
      <c r="R37" s="2"/>
      <c r="S3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7" width="11.421875" style="113" customWidth="1"/>
    <col min="8" max="8" width="11.7109375" style="113" customWidth="1"/>
    <col min="9" max="9" width="10.140625" style="113" bestFit="1" customWidth="1"/>
    <col min="10" max="16" width="10.140625" style="12" bestFit="1" customWidth="1"/>
    <col min="17" max="18" width="10.140625" style="0" bestFit="1" customWidth="1"/>
  </cols>
  <sheetData>
    <row r="1" spans="1:19" s="16" customFormat="1" ht="13.5" thickBot="1">
      <c r="A1" s="31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s="16" customFormat="1" ht="12.75">
      <c r="A2" s="54" t="s">
        <v>11</v>
      </c>
      <c r="B2" s="160">
        <f>(E2-F2)/F2</f>
        <v>1.1231231231231231</v>
      </c>
      <c r="C2" s="163">
        <f>E2-'[1]Czech Republic'!E2</f>
        <v>-601</v>
      </c>
      <c r="D2" s="143">
        <f>F2-'[1]Czech Republic'!F2</f>
        <v>-320</v>
      </c>
      <c r="E2" s="170">
        <v>1414</v>
      </c>
      <c r="F2" s="143">
        <v>666</v>
      </c>
      <c r="G2" s="172">
        <v>556</v>
      </c>
      <c r="H2" s="143">
        <v>0</v>
      </c>
      <c r="I2" s="143">
        <v>14</v>
      </c>
      <c r="J2" s="143"/>
      <c r="K2" s="143"/>
      <c r="L2" s="143"/>
      <c r="M2" s="143"/>
      <c r="N2" s="143"/>
      <c r="O2" s="143"/>
      <c r="P2" s="143"/>
      <c r="Q2" s="143"/>
      <c r="R2" s="143"/>
      <c r="S2" s="159"/>
    </row>
    <row r="3" spans="1:19" ht="12.75">
      <c r="A3" s="27" t="s">
        <v>9</v>
      </c>
      <c r="B3" s="35">
        <f aca="true" t="shared" si="0" ref="B3:B12">(E3-F3)/F3</f>
        <v>0.48812664907651715</v>
      </c>
      <c r="C3" s="163">
        <f>E3-'[1]Czech Republic'!E3</f>
        <v>-431</v>
      </c>
      <c r="D3" s="118">
        <f>F3-'[1]Czech Republic'!F3</f>
        <v>20</v>
      </c>
      <c r="E3" s="171">
        <v>564</v>
      </c>
      <c r="F3" s="118">
        <v>379</v>
      </c>
      <c r="G3" s="173">
        <v>70</v>
      </c>
      <c r="H3" s="118">
        <v>73</v>
      </c>
      <c r="I3" s="118">
        <v>90</v>
      </c>
      <c r="J3" s="13">
        <v>570</v>
      </c>
      <c r="K3" s="13">
        <v>28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14</v>
      </c>
      <c r="R3" s="13">
        <v>0</v>
      </c>
      <c r="S3" s="37">
        <v>0</v>
      </c>
    </row>
    <row r="4" spans="1:19" ht="12.75">
      <c r="A4" s="27" t="s">
        <v>14</v>
      </c>
      <c r="B4" s="35"/>
      <c r="C4" s="163">
        <f>E4-'[1]Czech Republic'!E4</f>
        <v>-46</v>
      </c>
      <c r="D4" s="118">
        <f>F4-'[1]Czech Republic'!F4</f>
        <v>0</v>
      </c>
      <c r="E4" s="171">
        <v>0</v>
      </c>
      <c r="F4" s="118">
        <v>0</v>
      </c>
      <c r="G4" s="173">
        <v>249</v>
      </c>
      <c r="H4" s="118">
        <v>87</v>
      </c>
      <c r="I4" s="118">
        <v>2</v>
      </c>
      <c r="J4" s="13">
        <v>80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3</v>
      </c>
      <c r="R4" s="13">
        <v>0</v>
      </c>
      <c r="S4" s="37">
        <v>8</v>
      </c>
    </row>
    <row r="5" spans="1:19" ht="12.75">
      <c r="A5" s="27" t="s">
        <v>3</v>
      </c>
      <c r="B5" s="35">
        <f t="shared" si="0"/>
        <v>-0.013944954128440367</v>
      </c>
      <c r="C5" s="163">
        <f>E5-'[1]Czech Republic'!E5</f>
        <v>-2394</v>
      </c>
      <c r="D5" s="118">
        <f>F5-'[1]Czech Republic'!F5</f>
        <v>-1807</v>
      </c>
      <c r="E5" s="171">
        <v>2687</v>
      </c>
      <c r="F5" s="118">
        <v>2725</v>
      </c>
      <c r="G5" s="173">
        <v>4671</v>
      </c>
      <c r="H5" s="118">
        <v>2099</v>
      </c>
      <c r="I5" s="118">
        <v>1999</v>
      </c>
      <c r="J5" s="13">
        <v>3072</v>
      </c>
      <c r="K5" s="13">
        <v>2390</v>
      </c>
      <c r="L5" s="13">
        <v>1947</v>
      </c>
      <c r="M5" s="13">
        <v>0</v>
      </c>
      <c r="N5" s="13">
        <v>0</v>
      </c>
      <c r="O5" s="13">
        <v>802</v>
      </c>
      <c r="P5" s="13">
        <v>1168</v>
      </c>
      <c r="Q5" s="13">
        <v>1361</v>
      </c>
      <c r="R5" s="13">
        <v>0</v>
      </c>
      <c r="S5" s="37">
        <v>919</v>
      </c>
    </row>
    <row r="6" spans="1:19" ht="12.75">
      <c r="A6" s="27" t="s">
        <v>10</v>
      </c>
      <c r="B6" s="35">
        <f t="shared" si="0"/>
        <v>2.4738805970149254</v>
      </c>
      <c r="C6" s="163">
        <f>E6-'[1]Czech Republic'!E6</f>
        <v>-1191</v>
      </c>
      <c r="D6" s="118">
        <f>F6-'[1]Czech Republic'!F6</f>
        <v>-328</v>
      </c>
      <c r="E6" s="171">
        <v>931</v>
      </c>
      <c r="F6" s="118">
        <v>268</v>
      </c>
      <c r="G6" s="173">
        <v>2076</v>
      </c>
      <c r="H6" s="118">
        <v>61</v>
      </c>
      <c r="I6" s="118">
        <v>455</v>
      </c>
      <c r="J6" s="13">
        <v>1828</v>
      </c>
      <c r="K6" s="13">
        <v>494</v>
      </c>
      <c r="L6" s="13">
        <v>1576</v>
      </c>
      <c r="M6" s="13">
        <v>0</v>
      </c>
      <c r="N6" s="13">
        <v>0</v>
      </c>
      <c r="O6" s="13">
        <v>502</v>
      </c>
      <c r="P6" s="13">
        <v>3308</v>
      </c>
      <c r="Q6" s="13">
        <v>2352</v>
      </c>
      <c r="R6" s="13">
        <v>0</v>
      </c>
      <c r="S6" s="37">
        <v>1689</v>
      </c>
    </row>
    <row r="7" spans="1:19" ht="12.75">
      <c r="A7" s="27" t="s">
        <v>27</v>
      </c>
      <c r="B7" s="35">
        <f t="shared" si="0"/>
        <v>41</v>
      </c>
      <c r="C7" s="163">
        <f>E7-'[1]Czech Republic'!E7</f>
        <v>-548</v>
      </c>
      <c r="D7" s="118">
        <f>F7-'[1]Czech Republic'!F7</f>
        <v>-256</v>
      </c>
      <c r="E7" s="171">
        <v>1050</v>
      </c>
      <c r="F7" s="118">
        <v>25</v>
      </c>
      <c r="G7" s="173">
        <v>763</v>
      </c>
      <c r="H7" s="118">
        <v>68</v>
      </c>
      <c r="I7" s="118">
        <v>873</v>
      </c>
      <c r="J7" s="13">
        <v>611</v>
      </c>
      <c r="K7" s="13">
        <v>49</v>
      </c>
      <c r="L7" s="13">
        <v>558</v>
      </c>
      <c r="M7" s="13">
        <v>0</v>
      </c>
      <c r="N7" s="13">
        <v>0</v>
      </c>
      <c r="O7" s="13">
        <v>205</v>
      </c>
      <c r="P7" s="13">
        <v>195</v>
      </c>
      <c r="Q7" s="13">
        <v>148</v>
      </c>
      <c r="R7" s="13">
        <v>0</v>
      </c>
      <c r="S7" s="37">
        <v>75</v>
      </c>
    </row>
    <row r="8" spans="1:19" ht="12.75">
      <c r="A8" s="27" t="s">
        <v>19</v>
      </c>
      <c r="B8" s="35">
        <f t="shared" si="0"/>
        <v>-1</v>
      </c>
      <c r="C8" s="163">
        <f>E8-'[1]Czech Republic'!E8</f>
        <v>-323</v>
      </c>
      <c r="D8" s="118">
        <f>F8-'[1]Czech Republic'!F8</f>
        <v>-283</v>
      </c>
      <c r="E8" s="171">
        <v>0</v>
      </c>
      <c r="F8" s="118">
        <v>177</v>
      </c>
      <c r="G8" s="173">
        <v>328</v>
      </c>
      <c r="H8" s="118">
        <v>120</v>
      </c>
      <c r="I8" s="118">
        <v>0</v>
      </c>
      <c r="J8" s="13">
        <v>172</v>
      </c>
      <c r="K8" s="13">
        <v>0</v>
      </c>
      <c r="L8" s="13">
        <v>0</v>
      </c>
      <c r="M8" s="13">
        <v>0</v>
      </c>
      <c r="N8" s="13">
        <v>0</v>
      </c>
      <c r="O8" s="13">
        <v>19</v>
      </c>
      <c r="P8" s="13">
        <v>30</v>
      </c>
      <c r="Q8" s="13">
        <v>0</v>
      </c>
      <c r="R8" s="13">
        <v>0</v>
      </c>
      <c r="S8" s="37">
        <v>0</v>
      </c>
    </row>
    <row r="9" spans="1:19" ht="12.75">
      <c r="A9" s="54" t="s">
        <v>91</v>
      </c>
      <c r="B9" s="35"/>
      <c r="C9" s="163">
        <f>E9-'[1]Czech Republic'!E9</f>
        <v>-215</v>
      </c>
      <c r="D9" s="118">
        <f>F9-'[1]Czech Republic'!F9</f>
        <v>0</v>
      </c>
      <c r="E9" s="171">
        <v>319</v>
      </c>
      <c r="F9" s="118">
        <v>0</v>
      </c>
      <c r="G9" s="173">
        <v>237</v>
      </c>
      <c r="H9" s="118">
        <v>0</v>
      </c>
      <c r="I9" s="118">
        <v>0</v>
      </c>
      <c r="J9" s="13">
        <v>84</v>
      </c>
      <c r="K9" s="13">
        <v>135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19</v>
      </c>
      <c r="R9" s="13">
        <v>0</v>
      </c>
      <c r="S9" s="37">
        <v>0</v>
      </c>
    </row>
    <row r="10" spans="1:19" ht="12.75">
      <c r="A10" s="27" t="s">
        <v>35</v>
      </c>
      <c r="B10" s="35"/>
      <c r="C10" s="163">
        <f>E10-'[1]Czech Republic'!E10</f>
        <v>0</v>
      </c>
      <c r="D10" s="118">
        <f>F10-'[1]Czech Republic'!F10</f>
        <v>0</v>
      </c>
      <c r="E10" s="171">
        <v>0</v>
      </c>
      <c r="F10" s="118">
        <v>0</v>
      </c>
      <c r="G10" s="173">
        <v>0</v>
      </c>
      <c r="H10" s="118">
        <v>0</v>
      </c>
      <c r="I10" s="118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37">
        <v>0</v>
      </c>
    </row>
    <row r="11" spans="1:19" ht="13.5" thickBot="1">
      <c r="A11" s="30" t="s">
        <v>60</v>
      </c>
      <c r="B11" s="36">
        <f t="shared" si="0"/>
        <v>0.9692307692307692</v>
      </c>
      <c r="C11" s="164">
        <f>E11-'[1]Czech Republic'!E11</f>
        <v>-138</v>
      </c>
      <c r="D11" s="119">
        <f>F11-'[1]Czech Republic'!F11</f>
        <v>-300</v>
      </c>
      <c r="E11" s="153">
        <v>768</v>
      </c>
      <c r="F11" s="119">
        <v>390</v>
      </c>
      <c r="G11" s="119">
        <v>788</v>
      </c>
      <c r="H11" s="119">
        <v>160</v>
      </c>
      <c r="I11" s="152">
        <v>229</v>
      </c>
      <c r="J11" s="111">
        <v>1868</v>
      </c>
      <c r="K11" s="111">
        <v>65</v>
      </c>
      <c r="L11" s="111">
        <v>15</v>
      </c>
      <c r="M11" s="111">
        <v>0</v>
      </c>
      <c r="N11" s="111">
        <v>0</v>
      </c>
      <c r="O11" s="111">
        <v>17</v>
      </c>
      <c r="P11" s="111">
        <v>5</v>
      </c>
      <c r="Q11" s="111">
        <v>20</v>
      </c>
      <c r="R11" s="15">
        <v>0</v>
      </c>
      <c r="S11" s="39">
        <v>520</v>
      </c>
    </row>
    <row r="12" spans="1:19" ht="13.5" thickBot="1">
      <c r="A12" s="45" t="s">
        <v>23</v>
      </c>
      <c r="B12" s="41">
        <f t="shared" si="0"/>
        <v>0.6701943844492441</v>
      </c>
      <c r="C12" s="175">
        <f>E12-'[1]Czech Republic'!E12</f>
        <v>-5887</v>
      </c>
      <c r="D12" s="121">
        <f>F12-'[1]Czech Republic'!F12</f>
        <v>-3274</v>
      </c>
      <c r="E12" s="154">
        <f>SUM(E2:E11)</f>
        <v>7733</v>
      </c>
      <c r="F12" s="121">
        <f>SUM(F2:F11)</f>
        <v>4630</v>
      </c>
      <c r="G12" s="121">
        <f>SUM(G2:G11)</f>
        <v>9738</v>
      </c>
      <c r="H12" s="121">
        <f>SUM(H3:H11)</f>
        <v>2668</v>
      </c>
      <c r="I12" s="121">
        <f>SUM(I2:I11)</f>
        <v>3662</v>
      </c>
      <c r="J12" s="42">
        <f>SUM(J3:J11)</f>
        <v>8285</v>
      </c>
      <c r="K12" s="42">
        <f>SUM(K3:K11)</f>
        <v>3161</v>
      </c>
      <c r="L12" s="42">
        <f>SUM(L3:L11)</f>
        <v>4096</v>
      </c>
      <c r="M12" s="42">
        <v>0</v>
      </c>
      <c r="N12" s="42">
        <f aca="true" t="shared" si="1" ref="N12:S12">SUM(N3:N11)</f>
        <v>0</v>
      </c>
      <c r="O12" s="42">
        <f t="shared" si="1"/>
        <v>1545</v>
      </c>
      <c r="P12" s="42">
        <f t="shared" si="1"/>
        <v>4706</v>
      </c>
      <c r="Q12" s="42">
        <f t="shared" si="1"/>
        <v>3917</v>
      </c>
      <c r="R12" s="42">
        <f t="shared" si="1"/>
        <v>0</v>
      </c>
      <c r="S12" s="43">
        <f t="shared" si="1"/>
        <v>3211</v>
      </c>
    </row>
    <row r="13" spans="2:17" s="9" customFormat="1" ht="12.75">
      <c r="B13" s="44"/>
      <c r="C13" s="44"/>
      <c r="D13" s="112"/>
      <c r="E13" s="112"/>
      <c r="F13" s="112"/>
      <c r="G13" s="112"/>
      <c r="H13" s="112"/>
      <c r="I13" s="112"/>
      <c r="J13" s="12"/>
      <c r="K13" s="12"/>
      <c r="L13" s="12"/>
      <c r="M13" s="12"/>
      <c r="N13" s="12"/>
      <c r="O13" s="12"/>
      <c r="P13" s="12"/>
      <c r="Q13" s="12"/>
    </row>
    <row r="14" ht="13.5" thickBot="1">
      <c r="Q14" s="12"/>
    </row>
    <row r="15" spans="1:19" ht="13.5" thickBot="1">
      <c r="A15" s="68" t="s">
        <v>25</v>
      </c>
      <c r="B15" s="32" t="s">
        <v>173</v>
      </c>
      <c r="C15" s="63" t="s">
        <v>172</v>
      </c>
      <c r="D15" s="109" t="s">
        <v>171</v>
      </c>
      <c r="E15" s="148">
        <v>44348</v>
      </c>
      <c r="F15" s="161">
        <v>43983</v>
      </c>
      <c r="G15" s="161">
        <v>43617</v>
      </c>
      <c r="H15" s="161">
        <v>43252</v>
      </c>
      <c r="I15" s="33">
        <v>42887</v>
      </c>
      <c r="J15" s="33">
        <v>42522</v>
      </c>
      <c r="K15" s="33">
        <v>42156</v>
      </c>
      <c r="L15" s="33">
        <v>41791</v>
      </c>
      <c r="M15" s="33">
        <v>41426</v>
      </c>
      <c r="N15" s="33">
        <v>41061</v>
      </c>
      <c r="O15" s="33">
        <v>40695</v>
      </c>
      <c r="P15" s="33">
        <v>40330</v>
      </c>
      <c r="Q15" s="33">
        <v>39965</v>
      </c>
      <c r="R15" s="33">
        <v>39600</v>
      </c>
      <c r="S15" s="34">
        <v>39234</v>
      </c>
    </row>
    <row r="16" spans="1:19" ht="12.75">
      <c r="A16" s="70" t="s">
        <v>7</v>
      </c>
      <c r="B16" s="71"/>
      <c r="C16" s="163">
        <f>E16-'[1]Czech Republic'!E16</f>
        <v>-155</v>
      </c>
      <c r="D16" s="96">
        <f>F16-'[1]Czech Republic'!F16</f>
        <v>-200</v>
      </c>
      <c r="E16" s="176">
        <v>0</v>
      </c>
      <c r="F16" s="96">
        <v>0</v>
      </c>
      <c r="G16" s="174">
        <v>340</v>
      </c>
      <c r="H16" s="96">
        <v>300</v>
      </c>
      <c r="I16" s="96">
        <v>210</v>
      </c>
      <c r="J16" s="96">
        <v>500</v>
      </c>
      <c r="K16" s="96">
        <v>0</v>
      </c>
      <c r="L16" s="96">
        <v>265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8">
        <v>0</v>
      </c>
    </row>
    <row r="17" spans="1:19" ht="12.75">
      <c r="A17" s="70" t="s">
        <v>43</v>
      </c>
      <c r="B17" s="71"/>
      <c r="C17" s="163">
        <f>E17-'[1]Czech Republic'!E17</f>
        <v>0</v>
      </c>
      <c r="D17" s="96">
        <f>F17-'[1]Czech Republic'!F17</f>
        <v>0</v>
      </c>
      <c r="E17" s="176">
        <v>0</v>
      </c>
      <c r="F17" s="96">
        <v>0</v>
      </c>
      <c r="G17" s="174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8">
        <v>0</v>
      </c>
    </row>
    <row r="18" spans="1:19" ht="12.75">
      <c r="A18" s="70" t="s">
        <v>165</v>
      </c>
      <c r="B18" s="71"/>
      <c r="C18" s="163">
        <f>E18-'[1]Czech Republic'!E18</f>
        <v>-3</v>
      </c>
      <c r="D18" s="96">
        <f>F18-'[1]Czech Republic'!F18</f>
        <v>0</v>
      </c>
      <c r="E18" s="176">
        <v>2</v>
      </c>
      <c r="F18" s="96">
        <v>0</v>
      </c>
      <c r="G18" s="174">
        <v>7</v>
      </c>
      <c r="H18" s="96">
        <v>0</v>
      </c>
      <c r="I18" s="96">
        <v>0</v>
      </c>
      <c r="J18" s="96">
        <v>28</v>
      </c>
      <c r="K18" s="96"/>
      <c r="L18" s="96">
        <v>0</v>
      </c>
      <c r="M18" s="96"/>
      <c r="N18" s="96"/>
      <c r="O18" s="96"/>
      <c r="P18" s="96"/>
      <c r="Q18" s="96"/>
      <c r="R18" s="96"/>
      <c r="S18" s="98"/>
    </row>
    <row r="19" spans="1:19" ht="12.75">
      <c r="A19" s="70" t="s">
        <v>164</v>
      </c>
      <c r="B19" s="71"/>
      <c r="C19" s="163">
        <f>E19-'[1]Czech Republic'!E19</f>
        <v>0</v>
      </c>
      <c r="D19" s="96">
        <f>F19-'[1]Czech Republic'!F19</f>
        <v>0</v>
      </c>
      <c r="E19" s="176">
        <v>0</v>
      </c>
      <c r="F19" s="96">
        <v>0</v>
      </c>
      <c r="G19" s="174">
        <v>0</v>
      </c>
      <c r="H19" s="96">
        <v>0</v>
      </c>
      <c r="I19" s="96">
        <v>0</v>
      </c>
      <c r="J19" s="96">
        <v>0</v>
      </c>
      <c r="K19" s="96"/>
      <c r="L19" s="96">
        <v>0</v>
      </c>
      <c r="M19" s="96"/>
      <c r="N19" s="96"/>
      <c r="O19" s="96"/>
      <c r="P19" s="96"/>
      <c r="Q19" s="96"/>
      <c r="R19" s="96"/>
      <c r="S19" s="98"/>
    </row>
    <row r="20" spans="1:19" ht="13.5" thickBot="1">
      <c r="A20" s="74" t="s">
        <v>6</v>
      </c>
      <c r="B20" s="71"/>
      <c r="C20" s="164">
        <f>E20-'[1]Czech Republic'!E20</f>
        <v>0</v>
      </c>
      <c r="D20" s="96">
        <f>F20-'[1]Czech Republic'!F20</f>
        <v>0</v>
      </c>
      <c r="E20" s="176">
        <v>0</v>
      </c>
      <c r="F20" s="96">
        <v>0</v>
      </c>
      <c r="G20" s="174">
        <v>6</v>
      </c>
      <c r="H20" s="96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9">
        <v>0</v>
      </c>
    </row>
    <row r="21" spans="1:19" ht="13.5" thickBot="1">
      <c r="A21" s="78" t="s">
        <v>94</v>
      </c>
      <c r="B21" s="79"/>
      <c r="C21" s="175">
        <f>E21-'[1]Czech Republic'!E21</f>
        <v>-158</v>
      </c>
      <c r="D21" s="114">
        <f>F21-'[1]Czech Republic'!F21</f>
        <v>-200</v>
      </c>
      <c r="E21" s="80">
        <f>SUM(E16:E20)</f>
        <v>2</v>
      </c>
      <c r="F21" s="114">
        <f>SUM(F16:F20)</f>
        <v>0</v>
      </c>
      <c r="G21" s="114">
        <f>SUM(G16:G20)</f>
        <v>353</v>
      </c>
      <c r="H21" s="114">
        <f>SUM(H16:H20)</f>
        <v>300</v>
      </c>
      <c r="I21" s="114">
        <v>210</v>
      </c>
      <c r="J21" s="114">
        <f>SUM(J16:J20)</f>
        <v>528</v>
      </c>
      <c r="K21" s="114">
        <v>0</v>
      </c>
      <c r="L21" s="114">
        <f>SUM(L16:L20)</f>
        <v>265</v>
      </c>
      <c r="M21" s="114">
        <v>0</v>
      </c>
      <c r="N21" s="114">
        <v>0</v>
      </c>
      <c r="O21" s="114">
        <v>0</v>
      </c>
      <c r="P21" s="114">
        <f>SUM(P16:P20)</f>
        <v>0</v>
      </c>
      <c r="Q21" s="114">
        <f>SUM(Q16:Q20)</f>
        <v>0</v>
      </c>
      <c r="R21" s="115">
        <f>SUM(R16:R20)</f>
        <v>0</v>
      </c>
      <c r="S21" s="116">
        <f>SUM(S16:S20)</f>
        <v>0</v>
      </c>
    </row>
    <row r="22" spans="17:19" ht="18">
      <c r="Q22" s="5"/>
      <c r="R22" s="1"/>
      <c r="S22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7" width="11.8515625" style="9" customWidth="1"/>
    <col min="8" max="8" width="11.421875" style="9" customWidth="1"/>
    <col min="9" max="16" width="10.140625" style="9" bestFit="1" customWidth="1"/>
    <col min="17" max="19" width="10.140625" style="0" bestFit="1" customWidth="1"/>
  </cols>
  <sheetData>
    <row r="1" spans="1:19" ht="13.5" thickBot="1">
      <c r="A1" s="53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33">
        <v>40330</v>
      </c>
      <c r="Q1" s="33">
        <v>39965</v>
      </c>
      <c r="R1" s="33">
        <v>39600</v>
      </c>
      <c r="S1" s="34">
        <v>39234</v>
      </c>
    </row>
    <row r="2" spans="1:19" ht="12.75">
      <c r="A2" s="54" t="s">
        <v>4</v>
      </c>
      <c r="B2" s="61"/>
      <c r="C2" s="102">
        <f>E2-'[1]Denmark'!E2</f>
        <v>0</v>
      </c>
      <c r="D2" s="91">
        <f>F2-'[1]Denmark'!F2</f>
        <v>0</v>
      </c>
      <c r="E2" s="57">
        <v>0</v>
      </c>
      <c r="F2" s="91">
        <v>0</v>
      </c>
      <c r="G2" s="91"/>
      <c r="H2" s="91">
        <v>0</v>
      </c>
      <c r="I2" s="91">
        <v>0</v>
      </c>
      <c r="J2" s="91">
        <v>0</v>
      </c>
      <c r="K2" s="91">
        <v>0</v>
      </c>
      <c r="L2" s="91"/>
      <c r="M2" s="91"/>
      <c r="N2" s="91"/>
      <c r="O2" s="91"/>
      <c r="P2" s="91"/>
      <c r="Q2" s="91"/>
      <c r="R2" s="52"/>
      <c r="S2" s="82"/>
    </row>
    <row r="3" spans="1:19" ht="12.75">
      <c r="A3" s="54" t="s">
        <v>99</v>
      </c>
      <c r="B3" s="61"/>
      <c r="C3" s="102">
        <f>E3-'[1]Denmark'!E3</f>
        <v>0</v>
      </c>
      <c r="D3" s="91">
        <f>F3-'[1]Denmark'!F3</f>
        <v>0</v>
      </c>
      <c r="E3" s="57">
        <v>0</v>
      </c>
      <c r="F3" s="91">
        <v>0</v>
      </c>
      <c r="G3" s="91"/>
      <c r="H3" s="91">
        <v>0</v>
      </c>
      <c r="I3" s="91">
        <v>0</v>
      </c>
      <c r="J3" s="91">
        <v>0</v>
      </c>
      <c r="K3" s="91">
        <v>0</v>
      </c>
      <c r="L3" s="91"/>
      <c r="M3" s="91"/>
      <c r="N3" s="91"/>
      <c r="O3" s="91"/>
      <c r="P3" s="91"/>
      <c r="Q3" s="91"/>
      <c r="R3" s="52"/>
      <c r="S3" s="82"/>
    </row>
    <row r="4" spans="1:19" ht="12.75">
      <c r="A4" s="54" t="s">
        <v>5</v>
      </c>
      <c r="B4" s="61"/>
      <c r="C4" s="102">
        <f>E4-'[1]Denmark'!E4</f>
        <v>0</v>
      </c>
      <c r="D4" s="91">
        <f>F4-'[1]Denmark'!F4</f>
        <v>0</v>
      </c>
      <c r="E4" s="57">
        <v>0</v>
      </c>
      <c r="F4" s="91">
        <v>0</v>
      </c>
      <c r="G4" s="91"/>
      <c r="H4" s="91">
        <v>0</v>
      </c>
      <c r="I4" s="91">
        <v>0</v>
      </c>
      <c r="J4" s="91">
        <v>0</v>
      </c>
      <c r="K4" s="91">
        <v>0</v>
      </c>
      <c r="L4" s="91"/>
      <c r="M4" s="91"/>
      <c r="N4" s="91"/>
      <c r="O4" s="91"/>
      <c r="P4" s="91"/>
      <c r="Q4" s="91"/>
      <c r="R4" s="52"/>
      <c r="S4" s="82"/>
    </row>
    <row r="5" spans="1:19" ht="12.75">
      <c r="A5" s="54" t="s">
        <v>2</v>
      </c>
      <c r="B5" s="61"/>
      <c r="C5" s="102">
        <f>E5-'[1]Denmark'!E5</f>
        <v>0</v>
      </c>
      <c r="D5" s="91">
        <f>F5-'[1]Denmark'!F5</f>
        <v>0</v>
      </c>
      <c r="E5" s="57">
        <v>0</v>
      </c>
      <c r="F5" s="91">
        <v>0</v>
      </c>
      <c r="G5" s="91">
        <v>30</v>
      </c>
      <c r="H5" s="91">
        <v>0</v>
      </c>
      <c r="I5" s="91">
        <v>0</v>
      </c>
      <c r="J5" s="91">
        <v>0</v>
      </c>
      <c r="K5" s="91">
        <v>0</v>
      </c>
      <c r="L5" s="91"/>
      <c r="M5" s="91"/>
      <c r="N5" s="91"/>
      <c r="O5" s="91"/>
      <c r="P5" s="91"/>
      <c r="Q5" s="91"/>
      <c r="R5" s="52"/>
      <c r="S5" s="82"/>
    </row>
    <row r="6" spans="1:19" ht="12.75">
      <c r="A6" s="54" t="s">
        <v>12</v>
      </c>
      <c r="B6" s="61"/>
      <c r="C6" s="102">
        <f>E6-'[1]Denmark'!E6</f>
        <v>0</v>
      </c>
      <c r="D6" s="91">
        <f>F6-'[1]Denmark'!F6</f>
        <v>0</v>
      </c>
      <c r="E6" s="57">
        <v>0</v>
      </c>
      <c r="F6" s="91">
        <v>0</v>
      </c>
      <c r="G6" s="91"/>
      <c r="H6" s="91">
        <v>0</v>
      </c>
      <c r="I6" s="91">
        <v>0</v>
      </c>
      <c r="J6" s="91">
        <v>0</v>
      </c>
      <c r="K6" s="91">
        <v>0</v>
      </c>
      <c r="L6" s="91"/>
      <c r="M6" s="91"/>
      <c r="N6" s="91"/>
      <c r="O6" s="91"/>
      <c r="P6" s="91"/>
      <c r="Q6" s="91"/>
      <c r="R6" s="52"/>
      <c r="S6" s="82"/>
    </row>
    <row r="7" spans="1:19" ht="12.75">
      <c r="A7" s="54" t="s">
        <v>9</v>
      </c>
      <c r="B7" s="61"/>
      <c r="C7" s="102">
        <f>E7-'[1]Denmark'!E7</f>
        <v>0</v>
      </c>
      <c r="D7" s="91">
        <f>F7-'[1]Denmark'!F7</f>
        <v>0</v>
      </c>
      <c r="E7" s="57">
        <v>0</v>
      </c>
      <c r="F7" s="91">
        <v>0</v>
      </c>
      <c r="G7" s="91">
        <v>40</v>
      </c>
      <c r="H7" s="91">
        <v>0</v>
      </c>
      <c r="I7" s="91">
        <v>0</v>
      </c>
      <c r="J7" s="91">
        <v>0</v>
      </c>
      <c r="K7" s="91">
        <v>0</v>
      </c>
      <c r="L7" s="91"/>
      <c r="M7" s="91"/>
      <c r="N7" s="91"/>
      <c r="O7" s="91"/>
      <c r="P7" s="91"/>
      <c r="Q7" s="91"/>
      <c r="R7" s="52"/>
      <c r="S7" s="82"/>
    </row>
    <row r="8" spans="1:19" ht="12.75">
      <c r="A8" s="54" t="s">
        <v>14</v>
      </c>
      <c r="B8" s="61"/>
      <c r="C8" s="102">
        <f>E8-'[1]Denmark'!E8</f>
        <v>0</v>
      </c>
      <c r="D8" s="91">
        <f>F8-'[1]Denmark'!F8</f>
        <v>0</v>
      </c>
      <c r="E8" s="57">
        <v>0</v>
      </c>
      <c r="F8" s="91">
        <v>0</v>
      </c>
      <c r="G8" s="91"/>
      <c r="H8" s="91">
        <v>0</v>
      </c>
      <c r="I8" s="91">
        <v>0</v>
      </c>
      <c r="J8" s="91">
        <v>0</v>
      </c>
      <c r="K8" s="91">
        <v>0</v>
      </c>
      <c r="L8" s="91"/>
      <c r="M8" s="91"/>
      <c r="N8" s="91"/>
      <c r="O8" s="91"/>
      <c r="P8" s="91"/>
      <c r="Q8" s="91"/>
      <c r="R8" s="52"/>
      <c r="S8" s="82"/>
    </row>
    <row r="9" spans="1:19" ht="12.75">
      <c r="A9" s="54" t="s">
        <v>15</v>
      </c>
      <c r="B9" s="61"/>
      <c r="C9" s="102">
        <f>E9-'[1]Denmark'!E9</f>
        <v>0</v>
      </c>
      <c r="D9" s="91">
        <f>F9-'[1]Denmark'!F9</f>
        <v>0</v>
      </c>
      <c r="E9" s="57">
        <v>0</v>
      </c>
      <c r="F9" s="91">
        <v>0</v>
      </c>
      <c r="G9" s="91"/>
      <c r="H9" s="91">
        <v>0</v>
      </c>
      <c r="I9" s="91">
        <v>0</v>
      </c>
      <c r="J9" s="91">
        <v>0</v>
      </c>
      <c r="K9" s="91">
        <v>0</v>
      </c>
      <c r="L9" s="91"/>
      <c r="M9" s="91"/>
      <c r="N9" s="91"/>
      <c r="O9" s="91"/>
      <c r="P9" s="91"/>
      <c r="Q9" s="91"/>
      <c r="R9" s="52"/>
      <c r="S9" s="82"/>
    </row>
    <row r="10" spans="1:19" ht="12.75">
      <c r="A10" s="54" t="s">
        <v>10</v>
      </c>
      <c r="B10" s="61"/>
      <c r="C10" s="102">
        <f>E10-'[1]Denmark'!E10</f>
        <v>0</v>
      </c>
      <c r="D10" s="91">
        <f>F10-'[1]Denmark'!F10</f>
        <v>0</v>
      </c>
      <c r="E10" s="57">
        <v>0</v>
      </c>
      <c r="F10" s="91">
        <v>0</v>
      </c>
      <c r="G10" s="91"/>
      <c r="H10" s="91">
        <v>0</v>
      </c>
      <c r="I10" s="91">
        <v>0</v>
      </c>
      <c r="J10" s="91">
        <v>0</v>
      </c>
      <c r="K10" s="91">
        <v>0</v>
      </c>
      <c r="L10" s="91"/>
      <c r="M10" s="91"/>
      <c r="N10" s="91"/>
      <c r="O10" s="91"/>
      <c r="P10" s="91"/>
      <c r="Q10" s="91"/>
      <c r="R10" s="52"/>
      <c r="S10" s="82"/>
    </row>
    <row r="11" spans="1:19" ht="12.75">
      <c r="A11" s="54" t="s">
        <v>101</v>
      </c>
      <c r="B11" s="61"/>
      <c r="C11" s="102">
        <f>E11-'[1]Denmark'!E11</f>
        <v>0</v>
      </c>
      <c r="D11" s="91">
        <f>F11-'[1]Denmark'!F11</f>
        <v>0</v>
      </c>
      <c r="E11" s="57">
        <v>0</v>
      </c>
      <c r="F11" s="91">
        <v>0</v>
      </c>
      <c r="G11" s="91"/>
      <c r="H11" s="91">
        <v>0</v>
      </c>
      <c r="I11" s="91">
        <v>0</v>
      </c>
      <c r="J11" s="91">
        <v>0</v>
      </c>
      <c r="K11" s="91">
        <v>0</v>
      </c>
      <c r="L11" s="91"/>
      <c r="M11" s="91"/>
      <c r="N11" s="91"/>
      <c r="O11" s="91"/>
      <c r="P11" s="91"/>
      <c r="Q11" s="91"/>
      <c r="R11" s="52"/>
      <c r="S11" s="82"/>
    </row>
    <row r="12" spans="1:19" ht="12.75">
      <c r="A12" s="54" t="s">
        <v>27</v>
      </c>
      <c r="B12" s="61"/>
      <c r="C12" s="102">
        <f>E12-'[1]Denmark'!E12</f>
        <v>0</v>
      </c>
      <c r="D12" s="91">
        <f>F12-'[1]Denmark'!F12</f>
        <v>0</v>
      </c>
      <c r="E12" s="57">
        <v>0</v>
      </c>
      <c r="F12" s="91">
        <v>0</v>
      </c>
      <c r="G12" s="91">
        <v>16</v>
      </c>
      <c r="H12" s="91">
        <v>0</v>
      </c>
      <c r="I12" s="91">
        <v>0</v>
      </c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52"/>
      <c r="S12" s="82"/>
    </row>
    <row r="13" spans="1:19" ht="12.75">
      <c r="A13" s="54" t="s">
        <v>26</v>
      </c>
      <c r="B13" s="61"/>
      <c r="C13" s="102">
        <f>E13-'[1]Denmark'!E13</f>
        <v>-223</v>
      </c>
      <c r="D13" s="91">
        <f>F13-'[1]Denmark'!F13</f>
        <v>0</v>
      </c>
      <c r="E13" s="57">
        <v>0</v>
      </c>
      <c r="F13" s="91">
        <v>0</v>
      </c>
      <c r="G13" s="91">
        <v>666</v>
      </c>
      <c r="H13" s="91">
        <v>0</v>
      </c>
      <c r="I13" s="91">
        <v>300</v>
      </c>
      <c r="J13" s="91">
        <v>509</v>
      </c>
      <c r="K13" s="91">
        <v>0</v>
      </c>
      <c r="L13" s="91"/>
      <c r="M13" s="91"/>
      <c r="N13" s="91"/>
      <c r="O13" s="91"/>
      <c r="P13" s="91"/>
      <c r="Q13" s="91"/>
      <c r="R13" s="52"/>
      <c r="S13" s="82"/>
    </row>
    <row r="14" spans="1:19" ht="12.75">
      <c r="A14" s="54" t="s">
        <v>100</v>
      </c>
      <c r="B14" s="61"/>
      <c r="C14" s="102">
        <f>E14-'[1]Denmark'!E14</f>
        <v>0</v>
      </c>
      <c r="D14" s="91">
        <f>F14-'[1]Denmark'!F14</f>
        <v>0</v>
      </c>
      <c r="E14" s="57">
        <v>0</v>
      </c>
      <c r="F14" s="91">
        <v>0</v>
      </c>
      <c r="G14" s="91"/>
      <c r="H14" s="91">
        <v>0</v>
      </c>
      <c r="I14" s="91">
        <v>0</v>
      </c>
      <c r="J14" s="91">
        <v>0</v>
      </c>
      <c r="K14" s="91">
        <v>0</v>
      </c>
      <c r="L14" s="91"/>
      <c r="M14" s="91"/>
      <c r="N14" s="91"/>
      <c r="O14" s="91"/>
      <c r="P14" s="91"/>
      <c r="Q14" s="91"/>
      <c r="R14" s="52"/>
      <c r="S14" s="82"/>
    </row>
    <row r="15" spans="1:19" ht="12.75">
      <c r="A15" s="54" t="s">
        <v>13</v>
      </c>
      <c r="B15" s="61"/>
      <c r="C15" s="102">
        <f>E15-'[1]Denmark'!E15</f>
        <v>0</v>
      </c>
      <c r="D15" s="91">
        <f>F15-'[1]Denmark'!F15</f>
        <v>0</v>
      </c>
      <c r="E15" s="57">
        <v>0</v>
      </c>
      <c r="F15" s="91">
        <v>0</v>
      </c>
      <c r="G15" s="91"/>
      <c r="H15" s="91">
        <v>0</v>
      </c>
      <c r="I15" s="91">
        <v>0</v>
      </c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52"/>
      <c r="S15" s="82"/>
    </row>
    <row r="16" spans="1:19" ht="12.75">
      <c r="A16" s="54" t="s">
        <v>35</v>
      </c>
      <c r="B16" s="61"/>
      <c r="C16" s="102">
        <f>E16-'[1]Denmark'!E16</f>
        <v>0</v>
      </c>
      <c r="D16" s="91">
        <f>F16-'[1]Denmark'!F16</f>
        <v>0</v>
      </c>
      <c r="E16" s="57">
        <v>0</v>
      </c>
      <c r="F16" s="91">
        <v>0</v>
      </c>
      <c r="G16" s="91"/>
      <c r="H16" s="91">
        <v>0</v>
      </c>
      <c r="I16" s="91">
        <v>0</v>
      </c>
      <c r="J16" s="91">
        <v>0</v>
      </c>
      <c r="K16" s="91">
        <v>0</v>
      </c>
      <c r="L16" s="91"/>
      <c r="M16" s="91"/>
      <c r="N16" s="91"/>
      <c r="O16" s="91"/>
      <c r="P16" s="91"/>
      <c r="Q16" s="91"/>
      <c r="R16" s="52"/>
      <c r="S16" s="82"/>
    </row>
    <row r="17" spans="1:19" ht="12.75">
      <c r="A17" s="54" t="s">
        <v>89</v>
      </c>
      <c r="B17" s="61"/>
      <c r="C17" s="102">
        <f>E17-'[1]Denmark'!E17</f>
        <v>-102</v>
      </c>
      <c r="D17" s="91">
        <f>F17-'[1]Denmark'!F17</f>
        <v>0</v>
      </c>
      <c r="E17" s="57">
        <v>0</v>
      </c>
      <c r="F17" s="91">
        <v>0</v>
      </c>
      <c r="G17" s="91">
        <v>701</v>
      </c>
      <c r="H17" s="91">
        <v>0</v>
      </c>
      <c r="I17" s="91">
        <v>280</v>
      </c>
      <c r="J17" s="91">
        <v>447</v>
      </c>
      <c r="K17" s="91">
        <v>0</v>
      </c>
      <c r="L17" s="91"/>
      <c r="M17" s="91"/>
      <c r="N17" s="91"/>
      <c r="O17" s="91"/>
      <c r="P17" s="91"/>
      <c r="Q17" s="91"/>
      <c r="R17" s="52"/>
      <c r="S17" s="82"/>
    </row>
    <row r="18" spans="1:19" ht="13.5" thickBot="1">
      <c r="A18" s="55" t="s">
        <v>6</v>
      </c>
      <c r="B18" s="62"/>
      <c r="C18" s="103">
        <f>E18-'[1]Denmark'!E18</f>
        <v>0</v>
      </c>
      <c r="D18" s="91">
        <f>F18-'[1]Denmark'!F18</f>
        <v>0</v>
      </c>
      <c r="E18" s="57">
        <v>0</v>
      </c>
      <c r="F18" s="91">
        <v>0</v>
      </c>
      <c r="G18" s="91">
        <v>11</v>
      </c>
      <c r="H18" s="91">
        <v>0</v>
      </c>
      <c r="I18" s="92">
        <v>0</v>
      </c>
      <c r="J18" s="92">
        <v>0</v>
      </c>
      <c r="K18" s="92">
        <v>0</v>
      </c>
      <c r="L18" s="92"/>
      <c r="M18" s="92"/>
      <c r="N18" s="92"/>
      <c r="O18" s="92"/>
      <c r="P18" s="92"/>
      <c r="Q18" s="92"/>
      <c r="R18" s="51"/>
      <c r="S18" s="83"/>
    </row>
    <row r="19" spans="1:19" ht="13.5" thickBot="1">
      <c r="A19" s="56" t="s">
        <v>94</v>
      </c>
      <c r="B19" s="107"/>
      <c r="C19" s="66">
        <f>E19-'[1]Denmark'!E19</f>
        <v>-325</v>
      </c>
      <c r="D19" s="122">
        <f>F19-'[1]Denmark'!F19</f>
        <v>0</v>
      </c>
      <c r="E19" s="59">
        <v>0</v>
      </c>
      <c r="F19" s="122">
        <f>SUM(F2:F18)</f>
        <v>0</v>
      </c>
      <c r="G19" s="122">
        <f>SUM(G2:G18)</f>
        <v>1464</v>
      </c>
      <c r="H19" s="122">
        <v>0</v>
      </c>
      <c r="I19" s="122">
        <f>SUM(I2:I18)</f>
        <v>580</v>
      </c>
      <c r="J19" s="122">
        <f>SUM(J2:J18)</f>
        <v>956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f>SUM(P2:P18)</f>
        <v>0</v>
      </c>
      <c r="Q19" s="122">
        <f>SUM(Q2:Q18)</f>
        <v>0</v>
      </c>
      <c r="R19" s="60">
        <f>SUM(R2:R18)</f>
        <v>0</v>
      </c>
      <c r="S19" s="43">
        <f>SUM(S2:S18)</f>
        <v>0</v>
      </c>
    </row>
    <row r="20" spans="1:17" ht="15">
      <c r="A20" s="146"/>
      <c r="Q20" s="9"/>
    </row>
    <row r="21" spans="1:19" ht="15" thickBot="1">
      <c r="A21" s="147"/>
      <c r="B21" s="3"/>
      <c r="C21" s="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3"/>
      <c r="S21" s="3"/>
    </row>
    <row r="22" spans="1:19" s="69" customFormat="1" ht="13.5" thickBot="1">
      <c r="A22" s="68" t="s">
        <v>123</v>
      </c>
      <c r="B22" s="32" t="s">
        <v>173</v>
      </c>
      <c r="C22" s="63" t="s">
        <v>172</v>
      </c>
      <c r="D22" s="109" t="s">
        <v>171</v>
      </c>
      <c r="E22" s="148">
        <v>44348</v>
      </c>
      <c r="F22" s="161">
        <v>43983</v>
      </c>
      <c r="G22" s="161">
        <v>43617</v>
      </c>
      <c r="H22" s="161">
        <v>43252</v>
      </c>
      <c r="I22" s="33">
        <v>42887</v>
      </c>
      <c r="J22" s="33">
        <v>42522</v>
      </c>
      <c r="K22" s="33">
        <v>42156</v>
      </c>
      <c r="L22" s="33">
        <v>41791</v>
      </c>
      <c r="M22" s="33">
        <v>41426</v>
      </c>
      <c r="N22" s="33">
        <v>41061</v>
      </c>
      <c r="O22" s="33">
        <v>40695</v>
      </c>
      <c r="P22" s="33">
        <v>40330</v>
      </c>
      <c r="Q22" s="33">
        <v>39965</v>
      </c>
      <c r="R22" s="33">
        <v>39600</v>
      </c>
      <c r="S22" s="34">
        <v>39234</v>
      </c>
    </row>
    <row r="23" spans="1:19" s="67" customFormat="1" ht="12.75">
      <c r="A23" s="70" t="s">
        <v>7</v>
      </c>
      <c r="B23" s="71"/>
      <c r="C23" s="102">
        <f>E23-'[1]Denmark'!E23</f>
        <v>0</v>
      </c>
      <c r="D23" s="96">
        <f>F23-'[1]Denmark'!F23</f>
        <v>0</v>
      </c>
      <c r="E23" s="72">
        <v>0</v>
      </c>
      <c r="F23" s="96">
        <v>0</v>
      </c>
      <c r="G23" s="96">
        <v>28</v>
      </c>
      <c r="H23" s="96">
        <v>0</v>
      </c>
      <c r="I23" s="96"/>
      <c r="J23" s="96">
        <v>0</v>
      </c>
      <c r="K23" s="96">
        <v>0</v>
      </c>
      <c r="L23" s="96"/>
      <c r="M23" s="96"/>
      <c r="N23" s="96"/>
      <c r="O23" s="96"/>
      <c r="P23" s="96">
        <v>0</v>
      </c>
      <c r="Q23" s="96">
        <f>SUM(T23:U23)</f>
        <v>0</v>
      </c>
      <c r="R23" s="73">
        <f>D38</f>
        <v>0</v>
      </c>
      <c r="S23" s="84">
        <f>D60</f>
        <v>0</v>
      </c>
    </row>
    <row r="24" spans="1:19" s="67" customFormat="1" ht="12.75">
      <c r="A24" s="70" t="s">
        <v>160</v>
      </c>
      <c r="B24" s="71"/>
      <c r="C24" s="102">
        <f>E24-'[1]Denmark'!E24</f>
        <v>0</v>
      </c>
      <c r="D24" s="96">
        <f>F24-'[1]Denmark'!F24</f>
        <v>0</v>
      </c>
      <c r="E24" s="72">
        <v>0</v>
      </c>
      <c r="F24" s="96">
        <v>0</v>
      </c>
      <c r="G24" s="96"/>
      <c r="H24" s="96">
        <v>0</v>
      </c>
      <c r="I24" s="96"/>
      <c r="J24" s="96">
        <v>0</v>
      </c>
      <c r="K24" s="96">
        <v>0</v>
      </c>
      <c r="L24" s="96"/>
      <c r="M24" s="96"/>
      <c r="N24" s="96"/>
      <c r="O24" s="96"/>
      <c r="P24" s="96"/>
      <c r="Q24" s="96"/>
      <c r="R24" s="73"/>
      <c r="S24" s="84"/>
    </row>
    <row r="25" spans="1:19" s="67" customFormat="1" ht="13.5" thickBot="1">
      <c r="A25" s="74" t="s">
        <v>6</v>
      </c>
      <c r="B25" s="75"/>
      <c r="C25" s="103">
        <f>E25-'[1]Denmark'!E25</f>
        <v>0</v>
      </c>
      <c r="D25" s="96">
        <f>F25-'[1]Denmark'!F25</f>
        <v>0</v>
      </c>
      <c r="E25" s="72">
        <v>0</v>
      </c>
      <c r="F25" s="96">
        <v>0</v>
      </c>
      <c r="G25" s="96">
        <v>93</v>
      </c>
      <c r="H25" s="96">
        <v>0</v>
      </c>
      <c r="I25" s="97"/>
      <c r="J25" s="97">
        <v>0</v>
      </c>
      <c r="K25" s="97">
        <v>0</v>
      </c>
      <c r="L25" s="97"/>
      <c r="M25" s="97"/>
      <c r="N25" s="97"/>
      <c r="O25" s="97"/>
      <c r="P25" s="97">
        <v>0</v>
      </c>
      <c r="Q25" s="97">
        <f>SUM(T25:U25)</f>
        <v>0</v>
      </c>
      <c r="R25" s="77">
        <v>0</v>
      </c>
      <c r="S25" s="85">
        <f>D69</f>
        <v>0</v>
      </c>
    </row>
    <row r="26" spans="1:19" s="67" customFormat="1" ht="13.5" thickBot="1">
      <c r="A26" s="78" t="s">
        <v>94</v>
      </c>
      <c r="B26" s="79"/>
      <c r="C26" s="88">
        <f>E26-'[1]Denmark'!E26</f>
        <v>0</v>
      </c>
      <c r="D26" s="114">
        <f>F26-'[1]Denmark'!F26</f>
        <v>0</v>
      </c>
      <c r="E26" s="80">
        <v>0</v>
      </c>
      <c r="F26" s="114">
        <f>SUM(F23:F25)</f>
        <v>0</v>
      </c>
      <c r="G26" s="114">
        <f>SUM(G23:G25)</f>
        <v>121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f>SUM(Q23:Q25)</f>
        <v>0</v>
      </c>
      <c r="R26" s="81">
        <f>SUM(R23:R25)</f>
        <v>0</v>
      </c>
      <c r="S26" s="86">
        <f>SUM(S23:S25)</f>
        <v>0</v>
      </c>
    </row>
    <row r="27" spans="4:16" s="67" customFormat="1" ht="12.75"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s="67" customFormat="1" ht="12.75">
      <c r="A28" s="69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4:16" s="67" customFormat="1" ht="12.75"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89" zoomScaleNormal="89" zoomScalePageLayoutView="0" workbookViewId="0" topLeftCell="A1">
      <selection activeCell="B33" sqref="B33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8" width="12.28125" style="9" customWidth="1"/>
    <col min="9" max="15" width="10.7109375" style="9" customWidth="1"/>
    <col min="16" max="16" width="10.140625" style="0" bestFit="1" customWidth="1"/>
  </cols>
  <sheetData>
    <row r="1" spans="1:16" ht="13.5" thickBot="1">
      <c r="A1" s="53" t="s">
        <v>24</v>
      </c>
      <c r="B1" s="32" t="s">
        <v>173</v>
      </c>
      <c r="C1" s="63" t="s">
        <v>172</v>
      </c>
      <c r="D1" s="109" t="s">
        <v>171</v>
      </c>
      <c r="E1" s="148">
        <v>44348</v>
      </c>
      <c r="F1" s="161">
        <v>43983</v>
      </c>
      <c r="G1" s="161">
        <v>43617</v>
      </c>
      <c r="H1" s="161">
        <v>43252</v>
      </c>
      <c r="I1" s="33">
        <v>42887</v>
      </c>
      <c r="J1" s="33">
        <v>42522</v>
      </c>
      <c r="K1" s="33">
        <v>42156</v>
      </c>
      <c r="L1" s="33">
        <v>41791</v>
      </c>
      <c r="M1" s="33">
        <v>41426</v>
      </c>
      <c r="N1" s="33">
        <v>41061</v>
      </c>
      <c r="O1" s="33">
        <v>40695</v>
      </c>
      <c r="P1" s="50">
        <v>40330</v>
      </c>
    </row>
    <row r="2" spans="1:16" ht="12.75">
      <c r="A2" s="54" t="s">
        <v>122</v>
      </c>
      <c r="B2" s="61">
        <f>(E2-F2)/F2</f>
        <v>0.06111696522655427</v>
      </c>
      <c r="C2" s="102">
        <f>E2-'[1]France'!E2</f>
        <v>-595</v>
      </c>
      <c r="D2" s="91">
        <f>F2-'[1]France'!F2</f>
        <v>-873</v>
      </c>
      <c r="E2" s="57">
        <v>1007</v>
      </c>
      <c r="F2" s="91">
        <v>949</v>
      </c>
      <c r="G2" s="91">
        <v>667</v>
      </c>
      <c r="H2" s="91">
        <v>42</v>
      </c>
      <c r="I2" s="143">
        <v>1236</v>
      </c>
      <c r="J2" s="143">
        <v>1250</v>
      </c>
      <c r="K2" s="143">
        <v>638</v>
      </c>
      <c r="L2" s="143">
        <v>3014</v>
      </c>
      <c r="M2" s="143">
        <v>624</v>
      </c>
      <c r="N2" s="143">
        <v>1550</v>
      </c>
      <c r="O2" s="143">
        <v>200</v>
      </c>
      <c r="P2" s="134">
        <v>152</v>
      </c>
    </row>
    <row r="3" spans="1:16" ht="12.75">
      <c r="A3" s="54" t="s">
        <v>128</v>
      </c>
      <c r="B3" s="61">
        <f aca="true" t="shared" si="0" ref="B3:B26">(E3-F3)/F3</f>
        <v>-0.8127358490566038</v>
      </c>
      <c r="C3" s="102">
        <f>E3-'[1]France'!E3</f>
        <v>-1898</v>
      </c>
      <c r="D3" s="91">
        <f>F3-'[1]France'!F3</f>
        <v>-3977</v>
      </c>
      <c r="E3" s="57">
        <v>794</v>
      </c>
      <c r="F3" s="91">
        <v>4240</v>
      </c>
      <c r="G3" s="91">
        <v>3062</v>
      </c>
      <c r="H3" s="91">
        <v>654</v>
      </c>
      <c r="I3" s="143">
        <v>4623</v>
      </c>
      <c r="J3" s="143">
        <v>3735</v>
      </c>
      <c r="K3" s="143">
        <v>1708</v>
      </c>
      <c r="L3" s="143">
        <v>10254</v>
      </c>
      <c r="M3" s="143">
        <v>1174</v>
      </c>
      <c r="N3" s="143">
        <v>3348</v>
      </c>
      <c r="O3" s="143">
        <v>5375</v>
      </c>
      <c r="P3" s="134">
        <v>6923</v>
      </c>
    </row>
    <row r="4" spans="1:16" ht="12.75">
      <c r="A4" s="54" t="s">
        <v>4</v>
      </c>
      <c r="B4" s="61"/>
      <c r="C4" s="102">
        <f>E4-'[1]France'!E4</f>
        <v>0</v>
      </c>
      <c r="D4" s="91">
        <f>F4-'[1]France'!F4</f>
        <v>-13</v>
      </c>
      <c r="E4" s="57">
        <v>0</v>
      </c>
      <c r="F4" s="91">
        <v>0</v>
      </c>
      <c r="G4" s="91">
        <v>294</v>
      </c>
      <c r="H4" s="91">
        <v>83</v>
      </c>
      <c r="I4" s="91">
        <v>136</v>
      </c>
      <c r="J4" s="91">
        <v>0</v>
      </c>
      <c r="K4" s="91">
        <v>0</v>
      </c>
      <c r="L4" s="91">
        <v>162</v>
      </c>
      <c r="M4" s="91"/>
      <c r="N4" s="91">
        <v>142</v>
      </c>
      <c r="O4" s="91">
        <v>0</v>
      </c>
      <c r="P4" s="93">
        <v>26</v>
      </c>
    </row>
    <row r="5" spans="1:16" ht="12.75">
      <c r="A5" s="54" t="s">
        <v>11</v>
      </c>
      <c r="B5" s="61">
        <f t="shared" si="0"/>
        <v>-0.24905374716124148</v>
      </c>
      <c r="C5" s="102">
        <f>E5-'[1]France'!E5</f>
        <v>-2424</v>
      </c>
      <c r="D5" s="91">
        <f>F5-'[1]France'!F5</f>
        <v>-3398</v>
      </c>
      <c r="E5" s="57">
        <v>1984</v>
      </c>
      <c r="F5" s="91">
        <v>2642</v>
      </c>
      <c r="G5" s="91">
        <v>4421</v>
      </c>
      <c r="H5" s="91">
        <v>282</v>
      </c>
      <c r="I5" s="91">
        <v>2270</v>
      </c>
      <c r="J5" s="91">
        <v>1915</v>
      </c>
      <c r="K5" s="91">
        <v>1654</v>
      </c>
      <c r="L5" s="91">
        <v>4530</v>
      </c>
      <c r="M5" s="91">
        <v>597</v>
      </c>
      <c r="N5" s="91">
        <v>2349</v>
      </c>
      <c r="O5" s="91">
        <v>1467</v>
      </c>
      <c r="P5" s="93">
        <v>4206</v>
      </c>
    </row>
    <row r="6" spans="1:16" ht="12.75">
      <c r="A6" s="54" t="s">
        <v>29</v>
      </c>
      <c r="B6" s="61"/>
      <c r="C6" s="102">
        <f>E6-'[1]France'!E6</f>
        <v>0</v>
      </c>
      <c r="D6" s="91">
        <f>F6-'[1]France'!F6</f>
        <v>0</v>
      </c>
      <c r="E6" s="57"/>
      <c r="F6" s="91"/>
      <c r="G6" s="91"/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29</v>
      </c>
      <c r="N6" s="91">
        <v>99</v>
      </c>
      <c r="O6" s="91">
        <v>189</v>
      </c>
      <c r="P6" s="93">
        <v>459</v>
      </c>
    </row>
    <row r="7" spans="1:16" ht="12.75">
      <c r="A7" s="54" t="s">
        <v>153</v>
      </c>
      <c r="B7" s="61">
        <f t="shared" si="0"/>
        <v>-0.47387258410880456</v>
      </c>
      <c r="C7" s="102">
        <f>E7-'[1]France'!E7</f>
        <v>-498</v>
      </c>
      <c r="D7" s="91">
        <f>F7-'[1]France'!F7</f>
        <v>-1156</v>
      </c>
      <c r="E7" s="57">
        <v>735</v>
      </c>
      <c r="F7" s="91">
        <v>1397</v>
      </c>
      <c r="G7" s="91">
        <v>2049</v>
      </c>
      <c r="H7" s="91">
        <v>1223</v>
      </c>
      <c r="I7" s="91">
        <v>814</v>
      </c>
      <c r="J7" s="91">
        <v>1409</v>
      </c>
      <c r="K7" s="91">
        <v>731</v>
      </c>
      <c r="L7" s="91">
        <v>496</v>
      </c>
      <c r="M7" s="91"/>
      <c r="N7" s="91">
        <v>908</v>
      </c>
      <c r="O7" s="91">
        <v>604</v>
      </c>
      <c r="P7" s="93">
        <v>0</v>
      </c>
    </row>
    <row r="8" spans="1:16" ht="12.75">
      <c r="A8" s="54" t="s">
        <v>62</v>
      </c>
      <c r="B8" s="61">
        <f t="shared" si="0"/>
        <v>-0.6749173518691193</v>
      </c>
      <c r="C8" s="102">
        <f>E8-'[1]France'!E8</f>
        <v>-12424</v>
      </c>
      <c r="D8" s="91">
        <f>F8-'[1]France'!F8</f>
        <v>-5391</v>
      </c>
      <c r="E8" s="57">
        <v>3835</v>
      </c>
      <c r="F8" s="91">
        <v>11797</v>
      </c>
      <c r="G8" s="91">
        <v>3940</v>
      </c>
      <c r="H8" s="91">
        <v>1015</v>
      </c>
      <c r="I8" s="91">
        <v>5870</v>
      </c>
      <c r="J8" s="91">
        <v>4408</v>
      </c>
      <c r="K8" s="91">
        <v>3095</v>
      </c>
      <c r="L8" s="91">
        <v>5403</v>
      </c>
      <c r="M8" s="91">
        <v>67</v>
      </c>
      <c r="N8" s="91">
        <v>161</v>
      </c>
      <c r="O8" s="91">
        <v>2932</v>
      </c>
      <c r="P8" s="93">
        <v>5434</v>
      </c>
    </row>
    <row r="9" spans="1:16" ht="12.75">
      <c r="A9" s="54" t="s">
        <v>2</v>
      </c>
      <c r="B9" s="61">
        <f t="shared" si="0"/>
        <v>-0.6790123456790124</v>
      </c>
      <c r="C9" s="102">
        <f>E9-'[1]France'!E9</f>
        <v>-5</v>
      </c>
      <c r="D9" s="91">
        <f>F9-'[1]France'!F9</f>
        <v>-82</v>
      </c>
      <c r="E9" s="57">
        <v>52</v>
      </c>
      <c r="F9" s="91">
        <v>162</v>
      </c>
      <c r="G9" s="91">
        <v>290</v>
      </c>
      <c r="H9" s="91">
        <v>4</v>
      </c>
      <c r="I9" s="91">
        <v>95</v>
      </c>
      <c r="J9" s="91">
        <v>54</v>
      </c>
      <c r="K9" s="91">
        <v>138</v>
      </c>
      <c r="L9" s="91">
        <v>70</v>
      </c>
      <c r="M9" s="91">
        <v>98</v>
      </c>
      <c r="N9" s="91">
        <v>20</v>
      </c>
      <c r="O9" s="91">
        <v>0</v>
      </c>
      <c r="P9" s="93">
        <v>7</v>
      </c>
    </row>
    <row r="10" spans="1:16" ht="12.75">
      <c r="A10" s="54" t="s">
        <v>12</v>
      </c>
      <c r="B10" s="61">
        <f t="shared" si="0"/>
        <v>-0.9071693801770923</v>
      </c>
      <c r="C10" s="102">
        <f>E10-'[1]France'!E10</f>
        <v>-1999</v>
      </c>
      <c r="D10" s="91">
        <f>F10-'[1]France'!F10</f>
        <v>-4969</v>
      </c>
      <c r="E10" s="57">
        <v>325</v>
      </c>
      <c r="F10" s="91">
        <v>3501</v>
      </c>
      <c r="G10" s="91">
        <v>3789</v>
      </c>
      <c r="H10" s="91">
        <v>786</v>
      </c>
      <c r="I10" s="91">
        <v>1551</v>
      </c>
      <c r="J10" s="91">
        <v>3232</v>
      </c>
      <c r="K10" s="91">
        <v>769</v>
      </c>
      <c r="L10" s="91">
        <v>5935</v>
      </c>
      <c r="M10" s="91">
        <v>1514</v>
      </c>
      <c r="N10" s="91">
        <v>1363</v>
      </c>
      <c r="O10" s="91">
        <v>3024</v>
      </c>
      <c r="P10" s="93">
        <v>2213</v>
      </c>
    </row>
    <row r="11" spans="1:16" ht="12.75">
      <c r="A11" s="54" t="s">
        <v>9</v>
      </c>
      <c r="B11" s="61">
        <f t="shared" si="0"/>
        <v>0.5253571428571429</v>
      </c>
      <c r="C11" s="102">
        <f>E11-'[1]France'!E11</f>
        <v>-9074</v>
      </c>
      <c r="D11" s="91">
        <f>F11-'[1]France'!F11</f>
        <v>-11575</v>
      </c>
      <c r="E11" s="57">
        <v>12813</v>
      </c>
      <c r="F11" s="91">
        <v>8400</v>
      </c>
      <c r="G11" s="91">
        <v>18158</v>
      </c>
      <c r="H11" s="91">
        <v>3425</v>
      </c>
      <c r="I11" s="91">
        <v>4287</v>
      </c>
      <c r="J11" s="91">
        <v>1860</v>
      </c>
      <c r="K11" s="91">
        <v>4608</v>
      </c>
      <c r="L11" s="91">
        <v>2551</v>
      </c>
      <c r="M11" s="91">
        <v>1883</v>
      </c>
      <c r="N11" s="91">
        <v>2658</v>
      </c>
      <c r="O11" s="91">
        <v>2969</v>
      </c>
      <c r="P11" s="93">
        <v>2903</v>
      </c>
    </row>
    <row r="12" spans="1:16" ht="12.75">
      <c r="A12" s="54" t="s">
        <v>3</v>
      </c>
      <c r="B12" s="61">
        <f t="shared" si="0"/>
        <v>-0.5199985052503083</v>
      </c>
      <c r="C12" s="102">
        <f>E12-'[1]France'!E12</f>
        <v>-18107</v>
      </c>
      <c r="D12" s="91">
        <f>F12-'[1]France'!F12</f>
        <v>-24900</v>
      </c>
      <c r="E12" s="57">
        <v>38535</v>
      </c>
      <c r="F12" s="91">
        <v>80281</v>
      </c>
      <c r="G12" s="91">
        <v>66747</v>
      </c>
      <c r="H12" s="91">
        <v>57887</v>
      </c>
      <c r="I12" s="91">
        <v>79976</v>
      </c>
      <c r="J12" s="91">
        <v>75936</v>
      </c>
      <c r="K12" s="91">
        <v>71300</v>
      </c>
      <c r="L12" s="91">
        <v>88522</v>
      </c>
      <c r="M12" s="91">
        <v>20682</v>
      </c>
      <c r="N12" s="91">
        <v>62266</v>
      </c>
      <c r="O12" s="91">
        <v>59806</v>
      </c>
      <c r="P12" s="93">
        <v>73500</v>
      </c>
    </row>
    <row r="13" spans="1:16" ht="12.75">
      <c r="A13" s="54" t="s">
        <v>139</v>
      </c>
      <c r="B13" s="61">
        <f t="shared" si="0"/>
        <v>-0.5464426877470355</v>
      </c>
      <c r="C13" s="102">
        <f>E13-'[1]France'!E13</f>
        <v>-543</v>
      </c>
      <c r="D13" s="91">
        <f>F13-'[1]France'!F13</f>
        <v>-553</v>
      </c>
      <c r="E13" s="57">
        <v>459</v>
      </c>
      <c r="F13" s="91">
        <v>1012</v>
      </c>
      <c r="G13" s="91">
        <v>302</v>
      </c>
      <c r="H13" s="91">
        <v>143</v>
      </c>
      <c r="I13" s="91">
        <v>296</v>
      </c>
      <c r="J13" s="91">
        <v>288</v>
      </c>
      <c r="K13" s="91">
        <v>800</v>
      </c>
      <c r="L13" s="91">
        <v>1086</v>
      </c>
      <c r="M13" s="91">
        <v>519</v>
      </c>
      <c r="N13" s="91">
        <v>484</v>
      </c>
      <c r="O13" s="91">
        <v>690</v>
      </c>
      <c r="P13" s="93">
        <v>675</v>
      </c>
    </row>
    <row r="14" spans="1:16" ht="12.75">
      <c r="A14" s="54" t="s">
        <v>17</v>
      </c>
      <c r="B14" s="61">
        <f t="shared" si="0"/>
        <v>-0.32654234257248693</v>
      </c>
      <c r="C14" s="102">
        <f>E14-'[1]France'!E14</f>
        <v>-13113</v>
      </c>
      <c r="D14" s="91">
        <f>F14-'[1]France'!F14</f>
        <v>-6317</v>
      </c>
      <c r="E14" s="57">
        <v>10545</v>
      </c>
      <c r="F14" s="91">
        <v>15658</v>
      </c>
      <c r="G14" s="91">
        <v>17046</v>
      </c>
      <c r="H14" s="91">
        <v>8877</v>
      </c>
      <c r="I14" s="91">
        <v>7979</v>
      </c>
      <c r="J14" s="91">
        <v>16829</v>
      </c>
      <c r="K14" s="91">
        <v>10987</v>
      </c>
      <c r="L14" s="91">
        <v>15124</v>
      </c>
      <c r="M14" s="91">
        <v>6954</v>
      </c>
      <c r="N14" s="91">
        <v>5095</v>
      </c>
      <c r="O14" s="91">
        <v>5607</v>
      </c>
      <c r="P14" s="93">
        <v>9193</v>
      </c>
    </row>
    <row r="15" spans="1:16" ht="12.75">
      <c r="A15" s="54" t="s">
        <v>131</v>
      </c>
      <c r="B15" s="61">
        <f t="shared" si="0"/>
        <v>-0.8995327102803738</v>
      </c>
      <c r="C15" s="102">
        <f>E15-'[1]France'!E15</f>
        <v>-3</v>
      </c>
      <c r="D15" s="91">
        <f>F15-'[1]France'!F15</f>
        <v>-1272</v>
      </c>
      <c r="E15" s="57">
        <v>86</v>
      </c>
      <c r="F15" s="91">
        <v>856</v>
      </c>
      <c r="G15" s="91">
        <v>362</v>
      </c>
      <c r="H15" s="91">
        <v>0</v>
      </c>
      <c r="I15" s="91">
        <v>550</v>
      </c>
      <c r="J15" s="91">
        <v>204</v>
      </c>
      <c r="K15" s="91">
        <v>271</v>
      </c>
      <c r="L15" s="91">
        <v>207</v>
      </c>
      <c r="M15" s="91">
        <v>1026</v>
      </c>
      <c r="N15" s="91"/>
      <c r="O15" s="91">
        <v>550</v>
      </c>
      <c r="P15" s="93">
        <v>76</v>
      </c>
    </row>
    <row r="16" spans="1:16" ht="12.75">
      <c r="A16" s="54" t="s">
        <v>10</v>
      </c>
      <c r="B16" s="61">
        <f t="shared" si="0"/>
        <v>0.15317286652078774</v>
      </c>
      <c r="C16" s="102">
        <f>E16-'[1]France'!E16</f>
        <v>-74</v>
      </c>
      <c r="D16" s="91">
        <f>F16-'[1]France'!F16</f>
        <v>-254</v>
      </c>
      <c r="E16" s="57">
        <v>527</v>
      </c>
      <c r="F16" s="91">
        <v>457</v>
      </c>
      <c r="G16" s="91">
        <v>413</v>
      </c>
      <c r="H16" s="91">
        <v>84</v>
      </c>
      <c r="I16" s="91">
        <v>247</v>
      </c>
      <c r="J16" s="91">
        <v>291</v>
      </c>
      <c r="K16" s="91">
        <v>268</v>
      </c>
      <c r="L16" s="91">
        <v>744</v>
      </c>
      <c r="M16" s="91">
        <v>192</v>
      </c>
      <c r="N16" s="91">
        <v>803</v>
      </c>
      <c r="O16" s="91">
        <v>510</v>
      </c>
      <c r="P16" s="93">
        <v>1019</v>
      </c>
    </row>
    <row r="17" spans="1:16" ht="12.75">
      <c r="A17" s="54" t="s">
        <v>130</v>
      </c>
      <c r="B17" s="61">
        <f t="shared" si="0"/>
        <v>-0.6169554455445545</v>
      </c>
      <c r="C17" s="102">
        <f>E17-'[1]France'!E17</f>
        <v>-1427</v>
      </c>
      <c r="D17" s="91">
        <f>F17-'[1]France'!F17</f>
        <v>-3202</v>
      </c>
      <c r="E17" s="57">
        <v>1238</v>
      </c>
      <c r="F17" s="91">
        <v>3232</v>
      </c>
      <c r="G17" s="91">
        <v>1161</v>
      </c>
      <c r="H17" s="91">
        <v>538</v>
      </c>
      <c r="I17" s="91">
        <v>1344</v>
      </c>
      <c r="J17" s="91">
        <v>347</v>
      </c>
      <c r="K17" s="91">
        <v>856</v>
      </c>
      <c r="L17" s="91">
        <v>930</v>
      </c>
      <c r="M17" s="91">
        <v>56</v>
      </c>
      <c r="N17" s="91">
        <v>392</v>
      </c>
      <c r="O17" s="91">
        <v>1115</v>
      </c>
      <c r="P17" s="93">
        <v>3224</v>
      </c>
    </row>
    <row r="18" spans="1:16" ht="12.75">
      <c r="A18" s="54" t="s">
        <v>27</v>
      </c>
      <c r="B18" s="61">
        <f t="shared" si="0"/>
        <v>-0.022687330244447995</v>
      </c>
      <c r="C18" s="102">
        <f>E18-'[1]France'!E18</f>
        <v>-729</v>
      </c>
      <c r="D18" s="91">
        <f>F18-'[1]France'!F18</f>
        <v>-1784</v>
      </c>
      <c r="E18" s="57">
        <v>6117</v>
      </c>
      <c r="F18" s="91">
        <v>6259</v>
      </c>
      <c r="G18" s="91">
        <v>7505</v>
      </c>
      <c r="H18" s="91">
        <v>3830</v>
      </c>
      <c r="I18" s="91">
        <v>5141</v>
      </c>
      <c r="J18" s="91">
        <v>3756</v>
      </c>
      <c r="K18" s="91">
        <v>1622</v>
      </c>
      <c r="L18" s="91">
        <v>3997</v>
      </c>
      <c r="M18" s="91">
        <v>819</v>
      </c>
      <c r="N18" s="91">
        <v>3288</v>
      </c>
      <c r="O18" s="91">
        <v>2912</v>
      </c>
      <c r="P18" s="93">
        <v>4969</v>
      </c>
    </row>
    <row r="19" spans="1:16" ht="12.75">
      <c r="A19" s="54" t="s">
        <v>129</v>
      </c>
      <c r="B19" s="61">
        <f t="shared" si="0"/>
        <v>-0.7449254096356077</v>
      </c>
      <c r="C19" s="102">
        <f>E19-'[1]France'!E19</f>
        <v>-2644</v>
      </c>
      <c r="D19" s="91">
        <f>F19-'[1]France'!F19</f>
        <v>-3548</v>
      </c>
      <c r="E19" s="57">
        <v>1043</v>
      </c>
      <c r="F19" s="91">
        <v>4089</v>
      </c>
      <c r="G19" s="91">
        <v>3908</v>
      </c>
      <c r="H19" s="91">
        <v>824</v>
      </c>
      <c r="I19" s="91">
        <v>2544</v>
      </c>
      <c r="J19" s="91">
        <v>1464</v>
      </c>
      <c r="K19" s="91">
        <v>759</v>
      </c>
      <c r="L19" s="91">
        <v>2927</v>
      </c>
      <c r="M19" s="91">
        <v>56</v>
      </c>
      <c r="N19" s="91">
        <v>217</v>
      </c>
      <c r="O19" s="91">
        <v>1075</v>
      </c>
      <c r="P19" s="93">
        <v>1624</v>
      </c>
    </row>
    <row r="20" spans="1:17" s="16" customFormat="1" ht="12.75">
      <c r="A20" s="54" t="s">
        <v>121</v>
      </c>
      <c r="B20" s="61"/>
      <c r="C20" s="102">
        <f>E20-'[1]France'!E20</f>
        <v>0</v>
      </c>
      <c r="D20" s="91">
        <f>F20-'[1]France'!F20</f>
        <v>0</v>
      </c>
      <c r="E20" s="57"/>
      <c r="F20" s="91"/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3</v>
      </c>
      <c r="N20" s="91">
        <v>8</v>
      </c>
      <c r="O20" s="91">
        <v>32</v>
      </c>
      <c r="P20" s="93">
        <v>2</v>
      </c>
      <c r="Q20"/>
    </row>
    <row r="21" spans="1:16" ht="12.75">
      <c r="A21" s="54" t="s">
        <v>90</v>
      </c>
      <c r="B21" s="61">
        <f t="shared" si="0"/>
        <v>-0.7044368600682593</v>
      </c>
      <c r="C21" s="102">
        <f>E21-'[1]France'!E21</f>
        <v>-521</v>
      </c>
      <c r="D21" s="91">
        <f>F21-'[1]France'!F21</f>
        <v>-584</v>
      </c>
      <c r="E21" s="57">
        <v>433</v>
      </c>
      <c r="F21" s="91">
        <v>1465</v>
      </c>
      <c r="G21" s="91">
        <v>1891</v>
      </c>
      <c r="H21" s="91">
        <v>347</v>
      </c>
      <c r="I21" s="91">
        <v>954</v>
      </c>
      <c r="J21" s="91">
        <v>730</v>
      </c>
      <c r="K21" s="91">
        <v>437</v>
      </c>
      <c r="L21" s="91">
        <v>4650</v>
      </c>
      <c r="M21" s="91">
        <v>2336</v>
      </c>
      <c r="N21" s="91">
        <v>2183</v>
      </c>
      <c r="O21" s="91">
        <v>1501</v>
      </c>
      <c r="P21" s="93">
        <v>1310</v>
      </c>
    </row>
    <row r="22" spans="1:16" ht="12.75">
      <c r="A22" s="54" t="s">
        <v>117</v>
      </c>
      <c r="B22" s="61">
        <f t="shared" si="0"/>
        <v>-0.6721991701244814</v>
      </c>
      <c r="C22" s="102">
        <f>E22-'[1]France'!E22</f>
        <v>-46</v>
      </c>
      <c r="D22" s="91">
        <f>F22-'[1]France'!F22</f>
        <v>-299</v>
      </c>
      <c r="E22" s="57">
        <v>79</v>
      </c>
      <c r="F22" s="91">
        <v>241</v>
      </c>
      <c r="G22" s="91">
        <v>221</v>
      </c>
      <c r="H22" s="91">
        <v>48</v>
      </c>
      <c r="I22" s="91">
        <v>21</v>
      </c>
      <c r="J22" s="91">
        <v>129</v>
      </c>
      <c r="K22" s="91">
        <v>8</v>
      </c>
      <c r="L22" s="91">
        <v>295</v>
      </c>
      <c r="M22" s="91">
        <v>25</v>
      </c>
      <c r="N22" s="91">
        <v>123</v>
      </c>
      <c r="O22" s="91">
        <v>10</v>
      </c>
      <c r="P22" s="93">
        <v>322</v>
      </c>
    </row>
    <row r="23" spans="1:16" ht="12.75">
      <c r="A23" s="54" t="s">
        <v>132</v>
      </c>
      <c r="B23" s="61">
        <f t="shared" si="0"/>
        <v>-0.16208272097417595</v>
      </c>
      <c r="C23" s="102">
        <f>E23-'[1]France'!E23</f>
        <v>-2224</v>
      </c>
      <c r="D23" s="91">
        <f>F23-'[1]France'!F23</f>
        <v>-1572</v>
      </c>
      <c r="E23" s="57">
        <v>3991</v>
      </c>
      <c r="F23" s="91">
        <v>4763</v>
      </c>
      <c r="G23" s="91">
        <v>4718</v>
      </c>
      <c r="H23" s="91">
        <v>687</v>
      </c>
      <c r="I23" s="91">
        <v>3059</v>
      </c>
      <c r="J23" s="91">
        <v>2162</v>
      </c>
      <c r="K23" s="91">
        <v>2744</v>
      </c>
      <c r="L23" s="91">
        <v>2178</v>
      </c>
      <c r="M23" s="91">
        <v>81</v>
      </c>
      <c r="N23" s="91">
        <v>1437</v>
      </c>
      <c r="O23" s="91">
        <v>377</v>
      </c>
      <c r="P23" s="93">
        <v>447</v>
      </c>
    </row>
    <row r="24" spans="1:16" ht="12.75">
      <c r="A24" s="54" t="s">
        <v>127</v>
      </c>
      <c r="B24" s="61">
        <f t="shared" si="0"/>
        <v>-1</v>
      </c>
      <c r="C24" s="102">
        <f>E24-'[1]France'!E24</f>
        <v>-90</v>
      </c>
      <c r="D24" s="91">
        <f>F24-'[1]France'!F24</f>
        <v>-411</v>
      </c>
      <c r="E24" s="57">
        <v>0</v>
      </c>
      <c r="F24" s="91">
        <v>247</v>
      </c>
      <c r="G24" s="91">
        <v>463</v>
      </c>
      <c r="H24" s="91">
        <v>0</v>
      </c>
      <c r="I24" s="91">
        <v>670</v>
      </c>
      <c r="J24" s="91">
        <v>235</v>
      </c>
      <c r="K24" s="91">
        <v>186</v>
      </c>
      <c r="L24" s="91">
        <v>741</v>
      </c>
      <c r="M24" s="91"/>
      <c r="N24" s="91">
        <v>527</v>
      </c>
      <c r="O24" s="91">
        <v>126</v>
      </c>
      <c r="P24" s="93">
        <v>483</v>
      </c>
    </row>
    <row r="25" spans="1:16" ht="13.5" thickBot="1">
      <c r="A25" s="55" t="s">
        <v>6</v>
      </c>
      <c r="B25" s="62">
        <f t="shared" si="0"/>
        <v>1.01875808538163</v>
      </c>
      <c r="C25" s="103">
        <f>E25-'[1]France'!E25</f>
        <v>-2553</v>
      </c>
      <c r="D25" s="92">
        <f>F25-'[1]France'!F25</f>
        <v>-1273</v>
      </c>
      <c r="E25" s="58">
        <v>3121</v>
      </c>
      <c r="F25" s="92">
        <v>1546</v>
      </c>
      <c r="G25" s="92">
        <v>2071</v>
      </c>
      <c r="H25" s="92">
        <v>383</v>
      </c>
      <c r="I25" s="92">
        <v>231</v>
      </c>
      <c r="J25" s="92">
        <v>278</v>
      </c>
      <c r="K25" s="92">
        <v>325</v>
      </c>
      <c r="L25" s="92">
        <v>1693</v>
      </c>
      <c r="M25" s="92">
        <v>1947</v>
      </c>
      <c r="N25" s="92">
        <v>624</v>
      </c>
      <c r="O25" s="92">
        <v>1553</v>
      </c>
      <c r="P25" s="94">
        <v>3571</v>
      </c>
    </row>
    <row r="26" spans="1:16" ht="13.5" thickBot="1">
      <c r="A26" s="53" t="s">
        <v>94</v>
      </c>
      <c r="B26" s="107">
        <f t="shared" si="0"/>
        <v>-0.4273992454012559</v>
      </c>
      <c r="C26" s="120">
        <f>E26-'[1]France'!E26</f>
        <v>-70991</v>
      </c>
      <c r="D26" s="121">
        <f>F26-'[1]France'!F26</f>
        <v>-77403</v>
      </c>
      <c r="E26" s="154">
        <f aca="true" t="shared" si="1" ref="E26:J26">SUM(E2:E25)</f>
        <v>87719</v>
      </c>
      <c r="F26" s="121">
        <f t="shared" si="1"/>
        <v>153194</v>
      </c>
      <c r="G26" s="121">
        <f t="shared" si="1"/>
        <v>143478</v>
      </c>
      <c r="H26" s="121">
        <f t="shared" si="1"/>
        <v>81162</v>
      </c>
      <c r="I26" s="122">
        <f t="shared" si="1"/>
        <v>123894</v>
      </c>
      <c r="J26" s="122">
        <f t="shared" si="1"/>
        <v>120512</v>
      </c>
      <c r="K26" s="122">
        <f aca="true" t="shared" si="2" ref="K26:P26">SUM(K2:K25)</f>
        <v>103904</v>
      </c>
      <c r="L26" s="122">
        <f t="shared" si="2"/>
        <v>155509</v>
      </c>
      <c r="M26" s="122">
        <f t="shared" si="2"/>
        <v>40682</v>
      </c>
      <c r="N26" s="122">
        <f t="shared" si="2"/>
        <v>90045</v>
      </c>
      <c r="O26" s="122">
        <f t="shared" si="2"/>
        <v>92624</v>
      </c>
      <c r="P26" s="127">
        <f t="shared" si="2"/>
        <v>122738</v>
      </c>
    </row>
    <row r="27" ht="12.75">
      <c r="P27" s="9"/>
    </row>
    <row r="28" spans="1:16" s="67" customFormat="1" ht="13.5" thickBot="1">
      <c r="A28" s="106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s="67" customFormat="1" ht="13.5" thickBot="1">
      <c r="A29" s="53" t="s">
        <v>25</v>
      </c>
      <c r="B29" s="32" t="s">
        <v>173</v>
      </c>
      <c r="C29" s="63" t="s">
        <v>172</v>
      </c>
      <c r="D29" s="109" t="s">
        <v>171</v>
      </c>
      <c r="E29" s="148">
        <v>44348</v>
      </c>
      <c r="F29" s="161">
        <v>43983</v>
      </c>
      <c r="G29" s="161">
        <v>43617</v>
      </c>
      <c r="H29" s="161">
        <v>43252</v>
      </c>
      <c r="I29" s="33">
        <v>42887</v>
      </c>
      <c r="J29" s="33">
        <v>42522</v>
      </c>
      <c r="K29" s="33">
        <v>42156</v>
      </c>
      <c r="L29" s="33">
        <v>41791</v>
      </c>
      <c r="M29" s="33">
        <v>41426</v>
      </c>
      <c r="N29" s="33">
        <v>41061</v>
      </c>
      <c r="O29" s="33">
        <v>40695</v>
      </c>
      <c r="P29" s="50">
        <v>40330</v>
      </c>
    </row>
    <row r="30" spans="1:16" ht="12.75">
      <c r="A30" s="70" t="s">
        <v>140</v>
      </c>
      <c r="B30" s="61">
        <f aca="true" t="shared" si="3" ref="B30:B38">(E30-F30)/F30</f>
        <v>-0.3125</v>
      </c>
      <c r="C30" s="102">
        <f>E30-'[1]France'!E30</f>
        <v>-313</v>
      </c>
      <c r="D30" s="91">
        <f>F30-'[1]France'!F30</f>
        <v>-69</v>
      </c>
      <c r="E30" s="57">
        <v>55</v>
      </c>
      <c r="F30" s="91">
        <v>80</v>
      </c>
      <c r="G30" s="91">
        <v>127</v>
      </c>
      <c r="H30" s="91">
        <v>208</v>
      </c>
      <c r="I30" s="143">
        <v>30</v>
      </c>
      <c r="J30" s="143">
        <v>82</v>
      </c>
      <c r="K30" s="143">
        <v>154</v>
      </c>
      <c r="L30" s="143">
        <v>921</v>
      </c>
      <c r="M30" s="143">
        <v>921</v>
      </c>
      <c r="N30" s="143"/>
      <c r="O30" s="143"/>
      <c r="P30" s="134"/>
    </row>
    <row r="31" spans="1:16" ht="12.75">
      <c r="A31" s="70" t="s">
        <v>141</v>
      </c>
      <c r="B31" s="61"/>
      <c r="C31" s="102">
        <f>E31-'[1]France'!E31</f>
        <v>0</v>
      </c>
      <c r="D31" s="91">
        <f>F31-'[1]France'!F31</f>
        <v>0</v>
      </c>
      <c r="E31" s="57"/>
      <c r="F31" s="91"/>
      <c r="G31" s="91"/>
      <c r="H31" s="91">
        <v>0</v>
      </c>
      <c r="I31" s="143">
        <v>0</v>
      </c>
      <c r="J31" s="143"/>
      <c r="K31" s="143"/>
      <c r="L31" s="143"/>
      <c r="M31" s="143"/>
      <c r="N31" s="143"/>
      <c r="O31" s="143"/>
      <c r="P31" s="134"/>
    </row>
    <row r="32" spans="1:16" ht="12.75">
      <c r="A32" s="70" t="s">
        <v>7</v>
      </c>
      <c r="B32" s="61">
        <f t="shared" si="3"/>
        <v>-0.467005076142132</v>
      </c>
      <c r="C32" s="102">
        <f>E32-'[1]France'!E32</f>
        <v>-44</v>
      </c>
      <c r="D32" s="91">
        <f>F32-'[1]France'!F32</f>
        <v>-134</v>
      </c>
      <c r="E32" s="57">
        <v>105</v>
      </c>
      <c r="F32" s="91">
        <v>197</v>
      </c>
      <c r="G32" s="91">
        <v>179</v>
      </c>
      <c r="H32" s="91">
        <v>165</v>
      </c>
      <c r="I32" s="91">
        <v>2</v>
      </c>
      <c r="J32" s="91">
        <v>57</v>
      </c>
      <c r="K32" s="91">
        <v>6</v>
      </c>
      <c r="L32" s="91">
        <v>40</v>
      </c>
      <c r="M32" s="91"/>
      <c r="N32" s="91"/>
      <c r="O32" s="91"/>
      <c r="P32" s="93"/>
    </row>
    <row r="33" spans="1:16" ht="12.75">
      <c r="A33" s="70" t="s">
        <v>95</v>
      </c>
      <c r="B33" s="61">
        <f t="shared" si="3"/>
        <v>0</v>
      </c>
      <c r="C33" s="102">
        <f>E33-'[1]France'!E33</f>
        <v>-2</v>
      </c>
      <c r="D33" s="91">
        <f>F33-'[1]France'!F33</f>
        <v>-18</v>
      </c>
      <c r="E33" s="57">
        <v>4</v>
      </c>
      <c r="F33" s="91">
        <v>4</v>
      </c>
      <c r="G33" s="91">
        <v>12</v>
      </c>
      <c r="H33" s="91">
        <v>76</v>
      </c>
      <c r="I33" s="91">
        <v>0</v>
      </c>
      <c r="J33" s="91">
        <v>58</v>
      </c>
      <c r="K33" s="91">
        <v>3</v>
      </c>
      <c r="L33" s="91">
        <v>3</v>
      </c>
      <c r="M33" s="91"/>
      <c r="N33" s="91"/>
      <c r="O33" s="91"/>
      <c r="P33" s="93"/>
    </row>
    <row r="34" spans="1:16" ht="12.75">
      <c r="A34" s="70" t="s">
        <v>142</v>
      </c>
      <c r="B34" s="61"/>
      <c r="C34" s="102">
        <f>E34-'[1]France'!E34</f>
        <v>0</v>
      </c>
      <c r="D34" s="91">
        <f>F34-'[1]France'!F34</f>
        <v>0</v>
      </c>
      <c r="E34" s="57"/>
      <c r="F34" s="91"/>
      <c r="G34" s="91"/>
      <c r="H34" s="91">
        <v>0</v>
      </c>
      <c r="I34" s="91">
        <v>0</v>
      </c>
      <c r="J34" s="91"/>
      <c r="K34" s="91"/>
      <c r="L34" s="91"/>
      <c r="M34" s="91"/>
      <c r="N34" s="91"/>
      <c r="O34" s="91"/>
      <c r="P34" s="93"/>
    </row>
    <row r="35" spans="1:16" ht="12.75">
      <c r="A35" s="70" t="s">
        <v>143</v>
      </c>
      <c r="B35" s="61"/>
      <c r="C35" s="102">
        <f>E35-'[1]France'!E35</f>
        <v>0</v>
      </c>
      <c r="D35" s="91">
        <f>F35-'[1]France'!F35</f>
        <v>0</v>
      </c>
      <c r="E35" s="57"/>
      <c r="F35" s="91"/>
      <c r="G35" s="91"/>
      <c r="H35" s="91">
        <v>0</v>
      </c>
      <c r="I35" s="91">
        <v>0</v>
      </c>
      <c r="J35" s="91"/>
      <c r="K35" s="91"/>
      <c r="L35" s="91"/>
      <c r="M35" s="91"/>
      <c r="N35" s="91"/>
      <c r="O35" s="91"/>
      <c r="P35" s="93"/>
    </row>
    <row r="36" spans="1:16" ht="12.75">
      <c r="A36" s="70" t="s">
        <v>144</v>
      </c>
      <c r="B36" s="61"/>
      <c r="C36" s="102">
        <f>E36-'[1]France'!E36</f>
        <v>0</v>
      </c>
      <c r="D36" s="91">
        <f>F36-'[1]France'!F36</f>
        <v>0</v>
      </c>
      <c r="E36" s="57"/>
      <c r="F36" s="91"/>
      <c r="G36" s="91"/>
      <c r="H36" s="91">
        <v>0</v>
      </c>
      <c r="I36" s="91">
        <v>0</v>
      </c>
      <c r="J36" s="91"/>
      <c r="K36" s="91"/>
      <c r="L36" s="91"/>
      <c r="M36" s="91"/>
      <c r="N36" s="91"/>
      <c r="O36" s="91"/>
      <c r="P36" s="93"/>
    </row>
    <row r="37" spans="1:16" ht="13.5" thickBot="1">
      <c r="A37" s="74" t="s">
        <v>6</v>
      </c>
      <c r="B37" s="62">
        <f t="shared" si="3"/>
        <v>0.1111111111111111</v>
      </c>
      <c r="C37" s="103">
        <f>E37-'[1]France'!E37</f>
        <v>-159</v>
      </c>
      <c r="D37" s="92">
        <f>F37-'[1]France'!F37</f>
        <v>-16</v>
      </c>
      <c r="E37" s="58">
        <v>30</v>
      </c>
      <c r="F37" s="92">
        <v>27</v>
      </c>
      <c r="G37" s="92">
        <v>364</v>
      </c>
      <c r="H37" s="92">
        <v>0</v>
      </c>
      <c r="I37" s="92">
        <v>0</v>
      </c>
      <c r="J37" s="91">
        <v>2</v>
      </c>
      <c r="K37" s="91"/>
      <c r="L37" s="91">
        <v>27</v>
      </c>
      <c r="M37" s="91"/>
      <c r="N37" s="91"/>
      <c r="O37" s="91"/>
      <c r="P37" s="93"/>
    </row>
    <row r="38" spans="1:16" ht="13.5" thickBot="1">
      <c r="A38" s="53" t="s">
        <v>94</v>
      </c>
      <c r="B38" s="107">
        <f t="shared" si="3"/>
        <v>-0.37012987012987014</v>
      </c>
      <c r="C38" s="120">
        <f>E38-'[1]France'!E38</f>
        <v>-518</v>
      </c>
      <c r="D38" s="121">
        <f>F38-'[1]France'!F38</f>
        <v>-237</v>
      </c>
      <c r="E38" s="154">
        <f aca="true" t="shared" si="4" ref="E38:L38">SUM(E30:E37)</f>
        <v>194</v>
      </c>
      <c r="F38" s="121">
        <f t="shared" si="4"/>
        <v>308</v>
      </c>
      <c r="G38" s="121">
        <f t="shared" si="4"/>
        <v>682</v>
      </c>
      <c r="H38" s="121">
        <f t="shared" si="4"/>
        <v>449</v>
      </c>
      <c r="I38" s="42">
        <f t="shared" si="4"/>
        <v>32</v>
      </c>
      <c r="J38" s="122">
        <f t="shared" si="4"/>
        <v>199</v>
      </c>
      <c r="K38" s="122">
        <f t="shared" si="4"/>
        <v>163</v>
      </c>
      <c r="L38" s="122">
        <f t="shared" si="4"/>
        <v>991</v>
      </c>
      <c r="M38" s="122"/>
      <c r="N38" s="122"/>
      <c r="O38" s="122"/>
      <c r="P38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Microsoft Office User</cp:lastModifiedBy>
  <cp:lastPrinted>2019-07-24T12:59:53Z</cp:lastPrinted>
  <dcterms:created xsi:type="dcterms:W3CDTF">2006-12-13T13:34:27Z</dcterms:created>
  <dcterms:modified xsi:type="dcterms:W3CDTF">2021-06-18T11:21:17Z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